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qmcom-my.sharepoint.com/personal/matheus_nqm_com_br/Documents/"/>
    </mc:Choice>
  </mc:AlternateContent>
  <xr:revisionPtr revIDLastSave="2237" documentId="8_{5585089B-B6A6-408F-ABC3-6557BE332AA8}" xr6:coauthVersionLast="47" xr6:coauthVersionMax="47" xr10:uidLastSave="{554EC352-E84C-4974-B3ED-4DFF5D7BD1F5}"/>
  <bookViews>
    <workbookView showSheetTabs="0" xWindow="-120" yWindow="-120" windowWidth="29040" windowHeight="15720" tabRatio="699" firstSheet="2" xr2:uid="{B2B0DAB9-3096-44E6-BDEB-FD3A459B2095}"/>
  </bookViews>
  <sheets>
    <sheet name="1-INSTRUÇÕES" sheetId="3" r:id="rId1"/>
    <sheet name="2.1_REGIME" sheetId="4" r:id="rId2"/>
    <sheet name="2.2_FIXOS" sheetId="5" r:id="rId3"/>
    <sheet name="2.3_MÃO_DE_OBRA" sheetId="6" r:id="rId4"/>
    <sheet name="3.IMPOSTOS_MEI" sheetId="7" r:id="rId5"/>
    <sheet name="3.IMPOSTOS_SIMPLES" sheetId="8" r:id="rId6"/>
    <sheet name="3.IMPOSTOS_LUCRO-PRESUMIDO" sheetId="10" r:id="rId7"/>
    <sheet name="4-SERVIÇO" sheetId="2" r:id="rId8"/>
    <sheet name="5-PRODUTO" sheetId="13" r:id="rId9"/>
    <sheet name="6-DASHBOARD" sheetId="14" r:id="rId10"/>
    <sheet name="Lucro_Presumido" sheetId="11" state="hidden" r:id="rId11"/>
    <sheet name="Simples_Nacional" sheetId="9" state="hidden" r:id="rId12"/>
  </sheets>
  <definedNames>
    <definedName name="CustoMensalMaoDeObra">'2.3_MÃO_DE_OBRA'!$I$5:$I$30</definedName>
    <definedName name="HorasDisponiveis">'2.3_MÃO_DE_OBRA'!$G$5:$G$30</definedName>
    <definedName name="ProdutoMaodeObraDireta">'5-PRODUTO'!$G$28</definedName>
    <definedName name="ProdutoTotalVariavel">'5-PRODUTO'!$D$50</definedName>
    <definedName name="RegimeTributario">'2.1_REGIME'!$D$4</definedName>
    <definedName name="TotalCustosFixos">'2.2_FIXOS'!$D$36</definedName>
    <definedName name="TotalCustosVariaveis">'4-SERVIÇO'!$D$35</definedName>
    <definedName name="TotalInsumos">'5-PRODUTO'!$G$19</definedName>
    <definedName name="TotalMaodeObraDireta">'4-SERVIÇO'!$G$13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" i="2" l="1"/>
  <c r="D10" i="8"/>
  <c r="D23" i="14" s="1"/>
  <c r="F4" i="13"/>
  <c r="D15" i="10"/>
  <c r="D12" i="8"/>
  <c r="C9" i="7"/>
  <c r="F5" i="5"/>
  <c r="G15" i="6"/>
  <c r="D27" i="14"/>
  <c r="F6" i="14"/>
  <c r="G26" i="14"/>
  <c r="D24" i="14"/>
  <c r="G4" i="13"/>
  <c r="G4" i="2"/>
  <c r="E15" i="10"/>
  <c r="E12" i="8"/>
  <c r="D9" i="7"/>
  <c r="H15" i="6"/>
  <c r="I5" i="5"/>
  <c r="F4" i="4"/>
  <c r="L6" i="14"/>
  <c r="L7" i="14" s="1"/>
  <c r="C6" i="14"/>
  <c r="C33" i="14"/>
  <c r="D33" i="14" s="1"/>
  <c r="C34" i="14"/>
  <c r="C35" i="14"/>
  <c r="F35" i="14" s="1"/>
  <c r="C36" i="14"/>
  <c r="F36" i="14" s="1"/>
  <c r="C32" i="14"/>
  <c r="F32" i="14" s="1"/>
  <c r="A8" i="3"/>
  <c r="A8" i="4"/>
  <c r="A8" i="5"/>
  <c r="A8" i="6"/>
  <c r="A8" i="7"/>
  <c r="A8" i="8"/>
  <c r="A8" i="10"/>
  <c r="A8" i="2"/>
  <c r="A8" i="13"/>
  <c r="A8" i="14"/>
  <c r="A7" i="14"/>
  <c r="A6" i="14"/>
  <c r="A5" i="14"/>
  <c r="A4" i="14"/>
  <c r="F24" i="13"/>
  <c r="G24" i="13" s="1"/>
  <c r="F12" i="2"/>
  <c r="G12" i="2" s="1"/>
  <c r="F11" i="2"/>
  <c r="G11" i="2" s="1"/>
  <c r="F8" i="2"/>
  <c r="G8" i="2" s="1"/>
  <c r="G10" i="13"/>
  <c r="G11" i="13"/>
  <c r="G12" i="13"/>
  <c r="G13" i="13"/>
  <c r="G14" i="13"/>
  <c r="G15" i="13"/>
  <c r="G16" i="13"/>
  <c r="G17" i="13"/>
  <c r="G18" i="13"/>
  <c r="G9" i="13"/>
  <c r="A7" i="4"/>
  <c r="A7" i="5"/>
  <c r="A7" i="6"/>
  <c r="A7" i="7"/>
  <c r="A7" i="8"/>
  <c r="A7" i="10"/>
  <c r="A7" i="2"/>
  <c r="A7" i="13"/>
  <c r="A7" i="3"/>
  <c r="F25" i="13"/>
  <c r="G25" i="13" s="1"/>
  <c r="F26" i="13"/>
  <c r="G26" i="13" s="1"/>
  <c r="F27" i="13"/>
  <c r="G27" i="13" s="1"/>
  <c r="H6" i="6"/>
  <c r="F9" i="2" s="1"/>
  <c r="G9" i="2" s="1"/>
  <c r="H7" i="6"/>
  <c r="F10" i="2" s="1"/>
  <c r="G10" i="2" s="1"/>
  <c r="H8" i="6"/>
  <c r="H9" i="6"/>
  <c r="H10" i="6"/>
  <c r="H11" i="6"/>
  <c r="H12" i="6"/>
  <c r="H13" i="6"/>
  <c r="H5" i="6"/>
  <c r="F23" i="13" s="1"/>
  <c r="G23" i="13" s="1"/>
  <c r="I6" i="6"/>
  <c r="D28" i="14" s="1"/>
  <c r="I7" i="6"/>
  <c r="I8" i="6"/>
  <c r="I9" i="6"/>
  <c r="I10" i="6"/>
  <c r="I11" i="6"/>
  <c r="I12" i="6"/>
  <c r="I13" i="6"/>
  <c r="I5" i="6"/>
  <c r="D35" i="2"/>
  <c r="G15" i="2" s="1"/>
  <c r="D36" i="5"/>
  <c r="A6" i="4"/>
  <c r="A6" i="5"/>
  <c r="A6" i="6"/>
  <c r="A6" i="7"/>
  <c r="A6" i="8"/>
  <c r="A6" i="10"/>
  <c r="A6" i="2"/>
  <c r="A6" i="13"/>
  <c r="A6" i="3"/>
  <c r="A5" i="4"/>
  <c r="A5" i="5"/>
  <c r="A5" i="6"/>
  <c r="A5" i="7"/>
  <c r="A5" i="8"/>
  <c r="A5" i="10"/>
  <c r="A5" i="2"/>
  <c r="A5" i="13"/>
  <c r="A5" i="3"/>
  <c r="A4" i="4"/>
  <c r="A4" i="5"/>
  <c r="A4" i="6"/>
  <c r="A4" i="7"/>
  <c r="A4" i="8"/>
  <c r="A4" i="10"/>
  <c r="A4" i="2"/>
  <c r="A4" i="13"/>
  <c r="A4" i="3"/>
  <c r="D50" i="13"/>
  <c r="G20" i="14" l="1"/>
  <c r="J21" i="14" s="1"/>
  <c r="D20" i="14"/>
  <c r="H36" i="14"/>
  <c r="H35" i="14"/>
  <c r="F34" i="14"/>
  <c r="G34" i="14" s="1"/>
  <c r="F33" i="14"/>
  <c r="Q33" i="14" s="1"/>
  <c r="G35" i="14"/>
  <c r="G32" i="14"/>
  <c r="G36" i="14"/>
  <c r="D36" i="14"/>
  <c r="Q36" i="14" s="1"/>
  <c r="D35" i="14"/>
  <c r="Q35" i="14" s="1"/>
  <c r="D34" i="14"/>
  <c r="D32" i="14"/>
  <c r="Q32" i="14" s="1"/>
  <c r="G19" i="13"/>
  <c r="G30" i="13" s="1"/>
  <c r="G28" i="13"/>
  <c r="G13" i="2"/>
  <c r="D11" i="10"/>
  <c r="D10" i="10"/>
  <c r="D7" i="10"/>
  <c r="H34" i="14" l="1"/>
  <c r="M22" i="14"/>
  <c r="G33" i="14"/>
  <c r="H33" i="14" s="1"/>
  <c r="Q34" i="14"/>
  <c r="H32" i="14"/>
  <c r="D9" i="10"/>
  <c r="E8" i="10" s="1"/>
  <c r="D12" i="10"/>
  <c r="D8" i="10"/>
  <c r="D9" i="8"/>
  <c r="E9" i="8" s="1"/>
  <c r="D6" i="7"/>
  <c r="D21" i="14" s="1"/>
  <c r="O25" i="14" l="1"/>
  <c r="N22" i="14"/>
  <c r="N21" i="14"/>
  <c r="M25" i="14"/>
  <c r="O21" i="14"/>
  <c r="K23" i="14"/>
  <c r="M21" i="14"/>
  <c r="J24" i="14"/>
  <c r="O23" i="14"/>
  <c r="N23" i="14"/>
  <c r="K21" i="14"/>
  <c r="M23" i="14"/>
  <c r="K25" i="14"/>
  <c r="J25" i="14"/>
  <c r="K22" i="14"/>
  <c r="M24" i="14"/>
  <c r="N25" i="14"/>
  <c r="J22" i="14"/>
  <c r="O24" i="14"/>
  <c r="O22" i="14"/>
  <c r="N24" i="14"/>
  <c r="J23" i="14"/>
  <c r="K24" i="14"/>
  <c r="I26" i="14"/>
  <c r="D13" i="10"/>
  <c r="D22" i="14" l="1"/>
  <c r="D25" i="14" s="1"/>
  <c r="I7" i="14" s="1"/>
  <c r="G21" i="14"/>
  <c r="I6" i="14" l="1"/>
  <c r="G23" i="14"/>
  <c r="G25" i="14"/>
  <c r="G22" i="14"/>
  <c r="G7" i="14" l="1"/>
  <c r="F7" i="14"/>
  <c r="C37" i="14"/>
  <c r="C8" i="14"/>
  <c r="G24" i="14"/>
  <c r="C38" i="1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<sst xmlns="http://schemas.openxmlformats.org/spreadsheetml/2006/main" count="173" uniqueCount="140">
  <si>
    <t>Serviços em geral</t>
  </si>
  <si>
    <t>Some todos os meses dos últimos 12 meses</t>
  </si>
  <si>
    <t>≥28% → Anexo III  |  &lt;28% → Anexo V</t>
  </si>
  <si>
    <t>Regime Tributário</t>
  </si>
  <si>
    <t>Descrição</t>
  </si>
  <si>
    <t>Valor em Reais</t>
  </si>
  <si>
    <t>Custos Fixos Mensais</t>
  </si>
  <si>
    <t>Informe quanto você consegue produzir/atender por mês e quanto está usando dessa capacidade.</t>
  </si>
  <si>
    <t>Horas disponíveis por mês</t>
  </si>
  <si>
    <t>Selecione o setor da empresa</t>
  </si>
  <si>
    <t>Valor DAS</t>
  </si>
  <si>
    <t>Entre 2% e 5%. Consulte a prefeitura ou sua contabilidade</t>
  </si>
  <si>
    <t>Selecione o Anexo da Empresa</t>
  </si>
  <si>
    <t>Anexo I</t>
  </si>
  <si>
    <t>Soma salários últimos 12 meses</t>
  </si>
  <si>
    <t>Soma pró-labore últimos 12 meses</t>
  </si>
  <si>
    <t>Soma encargos últimos 12 meses</t>
  </si>
  <si>
    <t>Alíquota efetiva total</t>
  </si>
  <si>
    <t>Anexo II</t>
  </si>
  <si>
    <t>Anexo III</t>
  </si>
  <si>
    <t>Anexo IV</t>
  </si>
  <si>
    <t>Anexo V</t>
  </si>
  <si>
    <t>Fator R (Calculado automaticamente)</t>
  </si>
  <si>
    <t>Tipo de Atividade</t>
  </si>
  <si>
    <t>Serviços hospitalares/médicos</t>
  </si>
  <si>
    <t>Comércio e Indústria</t>
  </si>
  <si>
    <t>Atividades imobiliárias</t>
  </si>
  <si>
    <t>Transporte de cargas</t>
  </si>
  <si>
    <t>Transporte de passageiros</t>
  </si>
  <si>
    <t>Construção civil</t>
  </si>
  <si>
    <t>Base de presunção</t>
  </si>
  <si>
    <t>IRPJ</t>
  </si>
  <si>
    <t>CSLL</t>
  </si>
  <si>
    <t>PIS</t>
  </si>
  <si>
    <t>COFINS</t>
  </si>
  <si>
    <t>ISS</t>
  </si>
  <si>
    <t>Adicional IRPJ 10%</t>
  </si>
  <si>
    <t>Nome do Serviço</t>
  </si>
  <si>
    <t>Função</t>
  </si>
  <si>
    <t>Colaborador</t>
  </si>
  <si>
    <t>Salário Mensal Bruto</t>
  </si>
  <si>
    <t>Encargos (%)</t>
  </si>
  <si>
    <t>Custo R$/hora</t>
  </si>
  <si>
    <t>Horas dedicadas neste serviço</t>
  </si>
  <si>
    <t>Custos variáveis do projeto</t>
  </si>
  <si>
    <t>Mão de Obra Direta</t>
  </si>
  <si>
    <t>Custo</t>
  </si>
  <si>
    <t>Total de mão de obra</t>
  </si>
  <si>
    <t>Total</t>
  </si>
  <si>
    <t>Custo base total</t>
  </si>
  <si>
    <t>Nome do Produto</t>
  </si>
  <si>
    <t>Unidade de Medida</t>
  </si>
  <si>
    <t>Insumos e Matérias Primas</t>
  </si>
  <si>
    <t>Quantidade por unidade produzida</t>
  </si>
  <si>
    <t>Unidade</t>
  </si>
  <si>
    <t>Total por unidade produzia</t>
  </si>
  <si>
    <t>Comissão</t>
  </si>
  <si>
    <t>Enquadramento MEI</t>
  </si>
  <si>
    <t>Selecione o regime tributário da sua empresa. Se tiver dúvidas, consulte o seu contador</t>
  </si>
  <si>
    <t>Custos Fixos</t>
  </si>
  <si>
    <t>Mão de Obra</t>
  </si>
  <si>
    <t>Impostos MEI</t>
  </si>
  <si>
    <t>Impostos Simples Nacional</t>
  </si>
  <si>
    <t>Impostos Lucro Presumido</t>
  </si>
  <si>
    <t>Precificação Serviço</t>
  </si>
  <si>
    <t>Precificação Produto</t>
  </si>
  <si>
    <t>Calculadora Preço Certo</t>
  </si>
  <si>
    <t>Como usar</t>
  </si>
  <si>
    <t xml:space="preserve">Preencha todos os gastos que você tem todo mês, independente de vender ou não. </t>
  </si>
  <si>
    <t>Receita Bruta Total dos Últimos 12 meses</t>
  </si>
  <si>
    <t>Custo mensal total 
(salário + encargos)</t>
  </si>
  <si>
    <t>Horas por unidade produzida</t>
  </si>
  <si>
    <t>Custos variáveis por unidade vendida</t>
  </si>
  <si>
    <t>Alíquota de imposto</t>
  </si>
  <si>
    <t>O que você vende?</t>
  </si>
  <si>
    <t>Custo de 1 kg / 1 litro / 1 unidade</t>
  </si>
  <si>
    <t>Se você compra em pacote, divida o preço pela quantidade. Cartela de 30 ovos por R$ 24 = R$ 0,80 por ovo.</t>
  </si>
  <si>
    <t>Comissão de Vendas</t>
  </si>
  <si>
    <t>Dashboard</t>
  </si>
  <si>
    <t>Preencha as abas anteriores primeiro. Aqui você compara o preço que calculou com o que pratica hoje, com o mercado e com sua capacidade real.</t>
  </si>
  <si>
    <t>Custo direto por unidade</t>
  </si>
  <si>
    <t>Custo fixo embutido no preço</t>
  </si>
  <si>
    <t>Preço mínimo</t>
  </si>
  <si>
    <t>Preço que você pratica hoje</t>
  </si>
  <si>
    <t>Preço</t>
  </si>
  <si>
    <t>O que está incluso</t>
  </si>
  <si>
    <t>Vendas do mês atual</t>
  </si>
  <si>
    <t>Custo fixo atribuído a este item</t>
  </si>
  <si>
    <t>Margem de contribuição por unidade</t>
  </si>
  <si>
    <t>Margem de contribuição em %</t>
  </si>
  <si>
    <t>Ponto de equilíbrio (unidades/mês)</t>
  </si>
  <si>
    <t>Margem de segurança</t>
  </si>
  <si>
    <t>Lucro no volume atual</t>
  </si>
  <si>
    <t>Horas disponíveis</t>
  </si>
  <si>
    <t>Horas por unidade</t>
  </si>
  <si>
    <t>Horas necessárias</t>
  </si>
  <si>
    <t>Uso</t>
  </si>
  <si>
    <t>Overview do Preço</t>
  </si>
  <si>
    <t>Você cobra hoje</t>
  </si>
  <si>
    <t>Para sair no 0 a 0</t>
  </si>
  <si>
    <t>Mercado</t>
  </si>
  <si>
    <t>O que você preenche</t>
  </si>
  <si>
    <t>Participação no faturamento</t>
  </si>
  <si>
    <t>Sua realidade</t>
  </si>
  <si>
    <t>Concorrentes</t>
  </si>
  <si>
    <t>Concorrente 1</t>
  </si>
  <si>
    <t>Concorrente 2</t>
  </si>
  <si>
    <t>Concorrente 3</t>
  </si>
  <si>
    <t>Concorrente 4</t>
  </si>
  <si>
    <t>Concorrente 5</t>
  </si>
  <si>
    <t>Nome</t>
  </si>
  <si>
    <t>Detalhe</t>
  </si>
  <si>
    <t>Composição de Preço</t>
  </si>
  <si>
    <t>Sua segurança</t>
  </si>
  <si>
    <t>Capacidade por função</t>
  </si>
  <si>
    <t>Auxiliar de Capacidade</t>
  </si>
  <si>
    <t>Capacidade Máxima (Unidades/Mês)</t>
  </si>
  <si>
    <t>MENU</t>
  </si>
  <si>
    <t xml:space="preserve">Custo direto por serviço  </t>
  </si>
  <si>
    <t xml:space="preserve">Custo direto por unidade </t>
  </si>
  <si>
    <t>Você vende hoje</t>
  </si>
  <si>
    <t>Simulação: lucro por preço e volume</t>
  </si>
  <si>
    <t>Preço por Volume</t>
  </si>
  <si>
    <t>Serviços</t>
  </si>
  <si>
    <t>Capacidade Máxima por mês</t>
  </si>
  <si>
    <t>Descubra por quanto vender sem chutar e sem trabalhar de graça.</t>
  </si>
  <si>
    <t xml:space="preserve">Preencha as abas na ordem do menu — cada uma depende da anterior. </t>
  </si>
  <si>
    <t>Você só digita nas células de fundo</t>
  </si>
  <si>
    <t>creme</t>
  </si>
  <si>
    <t>; as brancas são calculadas.</t>
  </si>
  <si>
    <t>Tenha em mãos</t>
  </si>
  <si>
    <t>Extrato ou relatório de despesas dos últimos 3 meses.</t>
  </si>
  <si>
    <t>Salários da equipe.</t>
  </si>
  <si>
    <t>Seu regime tributário.</t>
  </si>
  <si>
    <t>Se vende produtos, a lista de insumos.</t>
  </si>
  <si>
    <t>Importante</t>
  </si>
  <si>
    <t>O resultado é o preço mínimo, que cobre seus custos. O preço final depende do valor que você entrega e do que o mercado pratica.</t>
  </si>
  <si>
    <t>Horas de mão de obra por unidade</t>
  </si>
  <si>
    <t>Custo médio da hora de trabalho</t>
  </si>
  <si>
    <t>Simples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</si>
</sst>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"/>
    <numFmt numFmtId="166" formatCode="#,##0.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i/>
      <sz val="8"/>
      <color rgb="FF6B8FD4"/>
      <name val="Arial"/>
      <family val="2"/>
    </font>
    <font>
      <sz val="14"/>
      <color theme="1"/>
      <name val="Aptos Display"/>
      <family val="2"/>
      <scheme val="major"/>
    </font>
    <font>
      <u/>
      <sz val="11"/>
      <color theme="1"/>
      <name val="Aptos Narrow"/>
      <family val="2"/>
      <scheme val="minor"/>
    </font>
    <font>
      <sz val="12"/>
      <color theme="0"/>
      <name val="Aptos ExtraBold"/>
      <family val="2"/>
    </font>
    <font>
      <i/>
      <sz val="8"/>
      <color theme="1"/>
      <name val="Arial"/>
      <family val="2"/>
    </font>
    <font>
      <sz val="10"/>
      <color theme="1" tint="9.9917600024414813E-2"/>
      <name val="Calibri"/>
      <family val="2"/>
    </font>
    <font>
      <b/>
      <sz val="11"/>
      <color theme="5" tint="-0.2499465926084170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6"/>
      <color theme="3"/>
      <name val="Calibri"/>
      <family val="2"/>
    </font>
    <font>
      <b/>
      <sz val="18"/>
      <color theme="3"/>
      <name val="Calibri"/>
      <family val="2"/>
    </font>
    <font>
      <b/>
      <sz val="11"/>
      <color theme="3"/>
      <name val="Calibri"/>
      <family val="2"/>
    </font>
    <font>
      <sz val="8"/>
      <name val="Aptos Narrow"/>
      <family val="2"/>
      <scheme val="minor"/>
    </font>
    <font>
      <b/>
      <sz val="12"/>
      <color theme="1"/>
      <name val="Calibri"/>
      <family val="2"/>
    </font>
    <font>
      <sz val="10"/>
      <color theme="9"/>
      <name val="Calibri"/>
      <family val="2"/>
    </font>
    <font>
      <b/>
      <sz val="10"/>
      <color theme="1" tint="0.24994659260841701"/>
      <name val="Calibri"/>
      <family val="2"/>
    </font>
    <font>
      <sz val="11"/>
      <color theme="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 tint="0.24997711111789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15" fillId="4" borderId="0">
      <alignment horizontal="center" vertical="center" wrapText="1"/>
    </xf>
    <xf numFmtId="0" fontId="14" fillId="0" borderId="0">
      <alignment horizontal="left"/>
    </xf>
    <xf numFmtId="0" fontId="9" fillId="0" borderId="0">
      <alignment horizontal="left" vertical="top"/>
    </xf>
    <xf numFmtId="0" fontId="12" fillId="3" borderId="3" applyNumberFormat="0" applyAlignment="0">
      <alignment vertical="center"/>
      <protection locked="0"/>
    </xf>
    <xf numFmtId="0" fontId="12" fillId="0" borderId="3" applyNumberFormat="0" applyAlignment="0">
      <alignment vertical="center"/>
    </xf>
    <xf numFmtId="0" fontId="15" fillId="4" borderId="4" applyNumberFormat="0" applyAlignment="0">
      <alignment vertical="center"/>
    </xf>
    <xf numFmtId="164" fontId="13" fillId="4" borderId="5">
      <alignment horizontal="right" vertical="center"/>
    </xf>
    <xf numFmtId="0" fontId="11" fillId="5" borderId="0">
      <alignment horizontal="center" vertical="center"/>
    </xf>
    <xf numFmtId="0" fontId="10" fillId="6" borderId="3" applyNumberFormat="0" applyAlignment="0">
      <alignment vertical="center"/>
    </xf>
    <xf numFmtId="0" fontId="14" fillId="0" borderId="0" applyNumberFormat="0">
      <alignment horizontal="left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7">
      <alignment horizontal="left" vertical="center"/>
    </xf>
    <xf numFmtId="0" fontId="12" fillId="0" borderId="0">
      <alignment horizontal="left" vertical="center"/>
    </xf>
    <xf numFmtId="0" fontId="18" fillId="0" borderId="0"/>
    <xf numFmtId="0" fontId="14" fillId="0" borderId="0"/>
    <xf numFmtId="0" fontId="19" fillId="0" borderId="0"/>
    <xf numFmtId="0" fontId="20" fillId="0" borderId="0">
      <alignment horizontal="left" vertical="center" indent="1"/>
    </xf>
    <xf numFmtId="0" fontId="11" fillId="7" borderId="6">
      <alignment horizontal="left" vertical="center" indent="1"/>
    </xf>
  </cellStyleXfs>
  <cellXfs count="9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44" fontId="0" fillId="0" borderId="0" xfId="1" applyFont="1" applyAlignment="1">
      <alignment vertical="center"/>
    </xf>
    <xf numFmtId="1" fontId="0" fillId="0" borderId="0" xfId="0" applyNumberFormat="1" applyAlignment="1">
      <alignment vertical="center"/>
    </xf>
    <xf numFmtId="1" fontId="0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" fontId="0" fillId="2" borderId="0" xfId="0" applyNumberFormat="1" applyFill="1" applyAlignment="1">
      <alignment vertical="center"/>
    </xf>
    <xf numFmtId="0" fontId="9" fillId="0" borderId="0" xfId="4">
      <alignment horizontal="left" vertical="top"/>
    </xf>
    <xf numFmtId="0" fontId="15" fillId="4" borderId="0" xfId="2">
      <alignment horizontal="center" vertical="center" wrapText="1"/>
    </xf>
    <xf numFmtId="0" fontId="11" fillId="5" borderId="0" xfId="9">
      <alignment horizontal="center" vertical="center"/>
    </xf>
    <xf numFmtId="0" fontId="14" fillId="0" borderId="0" xfId="3">
      <alignment horizontal="left"/>
    </xf>
    <xf numFmtId="0" fontId="12" fillId="3" borderId="3" xfId="5" applyAlignment="1">
      <alignment vertical="center"/>
      <protection locked="0"/>
    </xf>
    <xf numFmtId="0" fontId="14" fillId="0" borderId="0" xfId="11">
      <alignment horizontal="left" vertical="center"/>
    </xf>
    <xf numFmtId="0" fontId="15" fillId="4" borderId="4" xfId="7" applyAlignment="1">
      <alignment vertical="center"/>
    </xf>
    <xf numFmtId="1" fontId="12" fillId="3" borderId="3" xfId="5" applyNumberFormat="1" applyAlignment="1">
      <alignment vertical="center"/>
      <protection locked="0"/>
    </xf>
    <xf numFmtId="1" fontId="12" fillId="3" borderId="3" xfId="5" applyNumberFormat="1" applyAlignment="1">
      <alignment horizontal="center" vertical="center"/>
      <protection locked="0"/>
    </xf>
    <xf numFmtId="10" fontId="12" fillId="3" borderId="3" xfId="5" applyNumberFormat="1" applyAlignment="1">
      <alignment horizontal="center" vertical="center"/>
      <protection locked="0"/>
    </xf>
    <xf numFmtId="10" fontId="12" fillId="0" borderId="3" xfId="6" applyNumberFormat="1" applyAlignment="1">
      <alignment horizontal="center" vertical="center"/>
    </xf>
    <xf numFmtId="0" fontId="12" fillId="3" borderId="3" xfId="5" applyAlignment="1">
      <alignment horizontal="left" vertical="center"/>
      <protection locked="0"/>
    </xf>
    <xf numFmtId="0" fontId="15" fillId="4" borderId="4" xfId="7" applyAlignment="1">
      <alignment horizontal="center" vertical="center"/>
    </xf>
    <xf numFmtId="164" fontId="12" fillId="3" borderId="3" xfId="5" applyNumberFormat="1" applyAlignment="1">
      <alignment vertical="center"/>
      <protection locked="0"/>
    </xf>
    <xf numFmtId="164" fontId="15" fillId="4" borderId="4" xfId="7" applyNumberFormat="1" applyAlignment="1">
      <alignment vertical="center"/>
    </xf>
    <xf numFmtId="164" fontId="12" fillId="0" borderId="3" xfId="6" applyNumberFormat="1" applyAlignment="1">
      <alignment horizontal="left" vertical="center" wrapText="1"/>
    </xf>
    <xf numFmtId="164" fontId="12" fillId="0" borderId="3" xfId="6" applyNumberFormat="1" applyAlignment="1">
      <alignment vertical="center"/>
    </xf>
    <xf numFmtId="10" fontId="12" fillId="3" borderId="3" xfId="5" applyNumberFormat="1" applyAlignment="1">
      <alignment vertical="center"/>
      <protection locked="0"/>
    </xf>
    <xf numFmtId="4" fontId="12" fillId="3" borderId="3" xfId="5" applyNumberFormat="1" applyAlignment="1">
      <alignment vertical="center"/>
      <protection locked="0"/>
    </xf>
    <xf numFmtId="164" fontId="12" fillId="0" borderId="3" xfId="6" applyNumberFormat="1" applyAlignment="1">
      <alignment horizontal="center" vertical="center"/>
    </xf>
    <xf numFmtId="164" fontId="12" fillId="3" borderId="3" xfId="5" applyNumberFormat="1" applyAlignment="1">
      <alignment horizontal="center" vertical="center"/>
      <protection locked="0"/>
    </xf>
    <xf numFmtId="0" fontId="14" fillId="0" borderId="0" xfId="11" applyAlignment="1">
      <alignment vertical="center"/>
    </xf>
    <xf numFmtId="0" fontId="9" fillId="0" borderId="0" xfId="4" applyAlignment="1">
      <alignment horizontal="left" vertical="top" wrapText="1"/>
    </xf>
    <xf numFmtId="4" fontId="12" fillId="3" borderId="3" xfId="5" applyNumberFormat="1" applyAlignment="1">
      <alignment horizontal="left" vertical="center"/>
      <protection locked="0"/>
    </xf>
    <xf numFmtId="0" fontId="0" fillId="2" borderId="0" xfId="0" applyFill="1"/>
    <xf numFmtId="0" fontId="3" fillId="2" borderId="0" xfId="0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2" fillId="0" borderId="3" xfId="6" applyAlignment="1"/>
    <xf numFmtId="164" fontId="12" fillId="0" borderId="3" xfId="6" applyNumberFormat="1" applyAlignment="1"/>
    <xf numFmtId="10" fontId="12" fillId="0" borderId="3" xfId="13" applyNumberFormat="1" applyFont="1" applyBorder="1" applyAlignment="1"/>
    <xf numFmtId="0" fontId="12" fillId="3" borderId="3" xfId="5" applyAlignment="1">
      <protection locked="0"/>
    </xf>
    <xf numFmtId="164" fontId="12" fillId="3" borderId="3" xfId="5" applyNumberFormat="1" applyAlignment="1">
      <protection locked="0"/>
    </xf>
    <xf numFmtId="9" fontId="12" fillId="3" borderId="3" xfId="13" applyFont="1" applyFill="1" applyBorder="1" applyAlignment="1" applyProtection="1">
      <protection locked="0"/>
    </xf>
    <xf numFmtId="1" fontId="12" fillId="3" borderId="3" xfId="12" applyNumberFormat="1" applyFont="1" applyFill="1" applyBorder="1" applyAlignment="1" applyProtection="1">
      <protection locked="0"/>
    </xf>
    <xf numFmtId="9" fontId="12" fillId="0" borderId="3" xfId="6" applyNumberFormat="1" applyAlignment="1"/>
    <xf numFmtId="2" fontId="12" fillId="0" borderId="3" xfId="6" applyNumberFormat="1" applyAlignment="1"/>
    <xf numFmtId="165" fontId="12" fillId="0" borderId="3" xfId="6" applyNumberFormat="1" applyAlignment="1"/>
    <xf numFmtId="1" fontId="12" fillId="0" borderId="3" xfId="6" applyNumberFormat="1" applyAlignment="1"/>
    <xf numFmtId="0" fontId="6" fillId="0" borderId="0" xfId="0" applyFont="1"/>
    <xf numFmtId="0" fontId="0" fillId="0" borderId="0" xfId="0" applyAlignment="1">
      <alignment horizontal="center"/>
    </xf>
    <xf numFmtId="0" fontId="11" fillId="7" borderId="6" xfId="20">
      <alignment horizontal="left" vertical="center" indent="1"/>
    </xf>
    <xf numFmtId="0" fontId="20" fillId="0" borderId="0" xfId="19">
      <alignment horizontal="left" vertical="center" indent="1"/>
    </xf>
    <xf numFmtId="0" fontId="17" fillId="0" borderId="7" xfId="14">
      <alignment horizontal="left" vertical="center"/>
    </xf>
    <xf numFmtId="0" fontId="19" fillId="4" borderId="0" xfId="18" applyFill="1" applyAlignment="1">
      <alignment horizontal="center" vertical="center"/>
    </xf>
    <xf numFmtId="1" fontId="12" fillId="3" borderId="3" xfId="13" applyNumberFormat="1" applyFont="1" applyFill="1" applyBorder="1" applyAlignment="1" applyProtection="1">
      <protection locked="0"/>
    </xf>
    <xf numFmtId="0" fontId="14" fillId="0" borderId="0" xfId="11" applyAlignment="1">
      <alignment horizontal="center" vertical="center"/>
    </xf>
    <xf numFmtId="166" fontId="12" fillId="3" borderId="3" xfId="5" applyNumberFormat="1" applyAlignment="1">
      <alignment vertical="center"/>
      <protection locked="0"/>
    </xf>
    <xf numFmtId="0" fontId="0" fillId="4" borderId="0" xfId="0" applyFill="1" applyAlignment="1">
      <alignment vertical="center"/>
    </xf>
    <xf numFmtId="0" fontId="12" fillId="3" borderId="3" xfId="5" applyAlignment="1" applyProtection="1">
      <alignment vertical="center"/>
    </xf>
    <xf numFmtId="0" fontId="0" fillId="0" borderId="0" xfId="0" applyAlignment="1">
      <alignment horizontal="left" vertical="center" indent="1"/>
    </xf>
    <xf numFmtId="2" fontId="12" fillId="0" borderId="3" xfId="6" applyNumberFormat="1" applyAlignment="1">
      <alignment vertical="center"/>
    </xf>
    <xf numFmtId="0" fontId="9" fillId="0" borderId="0" xfId="4" applyAlignment="1">
      <alignment horizontal="left" vertical="top" wrapText="1"/>
    </xf>
    <xf numFmtId="1" fontId="12" fillId="3" borderId="3" xfId="5" applyNumberFormat="1" applyAlignment="1">
      <alignment horizontal="center" vertical="center"/>
      <protection locked="0"/>
    </xf>
    <xf numFmtId="164" fontId="12" fillId="0" borderId="3" xfId="6" applyNumberFormat="1" applyAlignment="1">
      <alignment horizontal="center" vertical="center"/>
    </xf>
    <xf numFmtId="0" fontId="12" fillId="0" borderId="3" xfId="6" applyAlignment="1">
      <alignment horizontal="center" vertical="center"/>
    </xf>
    <xf numFmtId="0" fontId="17" fillId="0" borderId="7" xfId="14">
      <alignment horizontal="left" vertical="center"/>
    </xf>
    <xf numFmtId="0" fontId="18" fillId="4" borderId="0" xfId="16" applyFill="1" applyAlignment="1">
      <alignment horizontal="center"/>
    </xf>
    <xf numFmtId="0" fontId="12" fillId="3" borderId="3" xfId="5" applyAlignment="1">
      <protection locked="0"/>
    </xf>
    <xf numFmtId="0" fontId="9" fillId="0" borderId="0" xfId="4">
      <alignment horizontal="left" vertical="top"/>
    </xf>
    <xf numFmtId="0" fontId="15" fillId="4" borderId="0" xfId="2">
      <alignment horizontal="center" vertical="center" wrapText="1"/>
    </xf>
    <xf numFmtId="164" fontId="14" fillId="4" borderId="0" xfId="17" applyNumberFormat="1" applyFill="1" applyAlignment="1">
      <alignment horizontal="center"/>
    </xf>
    <xf numFmtId="1" fontId="14" fillId="4" borderId="0" xfId="17" applyNumberFormat="1" applyFill="1" applyAlignment="1">
      <alignment horizontal="center"/>
    </xf>
    <xf numFmtId="0" fontId="19" fillId="4" borderId="0" xfId="18" applyFill="1" applyAlignment="1">
      <alignment horizontal="center" vertical="center"/>
    </xf>
    <xf numFmtId="10" fontId="12" fillId="0" borderId="3" xfId="6" applyNumberFormat="1" applyAlignment="1">
      <alignment horizontal="center"/>
    </xf>
    <xf numFmtId="165" fontId="12" fillId="0" borderId="3" xfId="6" applyNumberFormat="1" applyAlignment="1"/>
    <xf numFmtId="0" fontId="0" fillId="4" borderId="0" xfId="0" applyFill="1" applyAlignment="1">
      <alignment wrapText="1"/>
    </xf>
    <xf numFmtId="0" fontId="0" fillId="4" borderId="0" xfId="0" applyFill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horizontal="left" vertical="center" indent="1"/>
    </xf>
    <xf numFmtId="0" fontId="14" fillId="0" borderId="0" xfId="3">
      <alignment horizontal="left"/>
    </xf>
    <xf numFmtId="0" fontId="11" fillId="5" borderId="0" xfId="9">
      <alignment horizontal="center" vertical="center"/>
    </xf>
    <xf numFmtId="0" fontId="14" fillId="0" borderId="0" xfId="11">
      <alignment horizontal="left" vertical="center"/>
    </xf>
    <xf numFmtId="10" fontId="12" fillId="0" borderId="3" xfId="13" applyNumberFormat="1" applyFont="1" applyBorder="1" applyAlignment="1">
      <alignment wrapText="1"/>
    </xf>
  </cellXfs>
  <cellStyles count="21">
    <cellStyle name="Ajuda" xfId="4" xr:uid="{F9869271-5C40-47F1-AA94-8BBB4CC07060}"/>
    <cellStyle name="Alerta" xfId="10" xr:uid="{890BA0CF-84B1-47C8-A4FD-2F534C69B20C}"/>
    <cellStyle name="Botão" xfId="9" xr:uid="{41F06FFD-2056-4D84-BDF8-772277EAAF14}"/>
    <cellStyle name="Cabeçalho" xfId="2" xr:uid="{1A6C433E-C7C7-4A3D-9171-0714CDA89856}"/>
    <cellStyle name="Calculado" xfId="6" xr:uid="{8C55FF13-7613-4846-9740-594301701C64}"/>
    <cellStyle name="CardNota" xfId="18" xr:uid="{A3EFA0B1-E3DB-426F-9291-3BD91A9C028E}"/>
    <cellStyle name="CardRótulo" xfId="16" xr:uid="{9ACBC13D-F226-4D46-8B71-1C8D43BCD337}"/>
    <cellStyle name="CardValor" xfId="17" xr:uid="{539BD746-E3DF-4B95-B99B-C048D8482846}"/>
    <cellStyle name="Input" xfId="5" xr:uid="{68491550-C66D-436D-9692-2D918CD0920A}"/>
    <cellStyle name="Menu" xfId="19" xr:uid="{AB5B0763-11FE-4B76-8A7A-C9DAFEAF9FE6}"/>
    <cellStyle name="MenuAtivo" xfId="20" xr:uid="{4E12B6A5-F3B8-4196-9B30-8668200E2AD8}"/>
    <cellStyle name="Moeda" xfId="1" builtinId="4"/>
    <cellStyle name="Normal" xfId="0" builtinId="0"/>
    <cellStyle name="Porcentagem" xfId="13" builtinId="5"/>
    <cellStyle name="Resultado" xfId="8" xr:uid="{D4248F2A-F5A2-4091-A87B-CCDC54F83868}"/>
    <cellStyle name="Rótulo" xfId="15" xr:uid="{5FD9F96E-F4AB-4969-BF0D-EE98DBC6FE8A}"/>
    <cellStyle name="Seção" xfId="11" xr:uid="{34EBCDB2-5A80-4F2F-A9F1-B9BCC4ACE30D}"/>
    <cellStyle name="Título - Matheus" xfId="3" xr:uid="{E96FD409-E3D1-416E-A564-0A9DDEEF63FA}"/>
    <cellStyle name="TítuloBloco" xfId="14" xr:uid="{2FE8A9DD-10F0-4D4F-8873-3680B633D06D}"/>
    <cellStyle name="Total - Matheus" xfId="7" xr:uid="{34C43F9D-E528-4339-9846-31D6150E891F}"/>
    <cellStyle name="Vírgula" xfId="12" builtinId="3"/>
  </cellStyles>
  <dxfs count="11">
    <dxf>
      <font>
        <color theme="2"/>
      </font>
      <fill>
        <patternFill>
          <bgColor theme="5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theme="5" tint="-0.24994659260841701"/>
      </font>
      <fill>
        <patternFill>
          <bgColor theme="5" tint="0.79998168889431442"/>
        </patternFill>
      </fill>
    </dxf>
    <dxf>
      <font>
        <color theme="9"/>
      </font>
      <fill>
        <patternFill patternType="none">
          <bgColor auto="1"/>
        </patternFill>
      </fill>
    </dxf>
    <dxf>
      <font>
        <b val="0"/>
        <i/>
        <color theme="9"/>
      </font>
    </dxf>
    <dxf>
      <font>
        <b/>
        <i val="0"/>
        <color theme="5" tint="0.39994506668294322"/>
      </font>
      <fill>
        <patternFill>
          <bgColor theme="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5" tint="0.79998168889431442"/>
      </font>
      <fill>
        <patternFill>
          <bgColor theme="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5" tint="0.79998168889431442"/>
      </font>
      <fill>
        <patternFill>
          <bgColor theme="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5" tint="0.79998168889431442"/>
      </font>
      <fill>
        <patternFill>
          <bgColor theme="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5" tint="0.39994506668294322"/>
      </font>
      <fill>
        <patternFill>
          <bgColor theme="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5" tint="0.39994506668294322"/>
      </font>
      <fill>
        <patternFill>
          <bgColor theme="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Tinta Densa">
      <a:dk1>
        <a:srgbClr val="1A1D21"/>
      </a:dk1>
      <a:lt1>
        <a:sysClr val="window" lastClr="FFFFFF"/>
      </a:lt1>
      <a:dk2>
        <a:srgbClr val="12293F"/>
      </a:dk2>
      <a:lt2>
        <a:srgbClr val="E4EDF3"/>
      </a:lt2>
      <a:accent1>
        <a:srgbClr val="3E7CA8"/>
      </a:accent1>
      <a:accent2>
        <a:srgbClr val="C0492F"/>
      </a:accent2>
      <a:accent3>
        <a:srgbClr val="2F6B52"/>
      </a:accent3>
      <a:accent4>
        <a:srgbClr val="C08A2E"/>
      </a:accent4>
      <a:accent5>
        <a:srgbClr val="3E8C8C"/>
      </a:accent5>
      <a:accent6>
        <a:srgbClr val="6E7B85"/>
      </a:accent6>
      <a:hlink>
        <a:srgbClr val="1F5C8B"/>
      </a:hlink>
      <a:folHlink>
        <a:srgbClr val="6E5A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2559-5AC2-4C30-9662-ADDA1CACB9B4}">
  <sheetPr>
    <pageSetUpPr autoPageBreaks="0"/>
  </sheetPr>
  <dimension ref="A1:Z15"/>
  <sheetViews>
    <sheetView showGridLines="0" tabSelected="1" workbookViewId="0">
      <pane xSplit="1" ySplit="2" topLeftCell="B3" activePane="bottomRight" state="frozen"/>
      <selection activeCell="L7" sqref="L7"/>
      <selection pane="topRight" activeCell="L7" sqref="L7"/>
      <selection pane="bottomLeft" activeCell="L7" sqref="L7"/>
      <selection pane="bottomRight" activeCell="M11" sqref="M11"/>
    </sheetView>
  </sheetViews>
  <sheetFormatPr defaultColWidth="0" defaultRowHeight="26.1" customHeight="1" x14ac:dyDescent="0.25"/>
  <cols>
    <col min="1" max="1" width="23.140625" style="11" customWidth="1"/>
    <col min="2" max="2" width="3.28515625" style="1" customWidth="1"/>
    <col min="3" max="4" width="9.140625" style="1" customWidth="1"/>
    <col min="5" max="5" width="13.42578125" style="1" customWidth="1"/>
    <col min="6" max="6" width="6.42578125" style="1" bestFit="1" customWidth="1"/>
    <col min="7" max="26" width="9.140625" style="1" customWidth="1"/>
    <col min="27" max="16384" width="9.140625" style="1" hidden="1"/>
  </cols>
  <sheetData>
    <row r="1" spans="1:18" s="12" customFormat="1" ht="42" customHeight="1" x14ac:dyDescent="0.35">
      <c r="A1" s="67" t="e" vm="1">
        <v>#VALUE!</v>
      </c>
      <c r="B1" s="21" t="s">
        <v>66</v>
      </c>
      <c r="C1" s="21"/>
      <c r="D1" s="21"/>
      <c r="E1" s="21"/>
      <c r="F1" s="21"/>
    </row>
    <row r="2" spans="1:18" s="12" customFormat="1" ht="15" x14ac:dyDescent="0.25">
      <c r="A2" s="11"/>
      <c r="B2" s="18" t="s">
        <v>125</v>
      </c>
      <c r="C2" s="18"/>
      <c r="D2" s="18"/>
      <c r="E2" s="18"/>
      <c r="F2" s="18"/>
      <c r="G2" s="18"/>
      <c r="H2" s="18"/>
    </row>
    <row r="3" spans="1:18" ht="26.1" customHeight="1" x14ac:dyDescent="0.25">
      <c r="A3" s="63" t="s">
        <v>117</v>
      </c>
    </row>
    <row r="4" spans="1:18" ht="26.1" customHeight="1" thickBot="1" x14ac:dyDescent="0.3">
      <c r="A4" s="58" t="str">
        <f>HYPERLINK("#'1-INSTRUÇÕES'!A1","1. INSTRUÇÕES")</f>
        <v>1. INSTRUÇÕES</v>
      </c>
      <c r="C4" s="60" t="s">
        <v>67</v>
      </c>
      <c r="D4" s="60"/>
    </row>
    <row r="5" spans="1:18" ht="26.1" customHeight="1" x14ac:dyDescent="0.25">
      <c r="A5" s="59" t="str">
        <f>HYPERLINK("#'2.1_REGIME'!A1","2. CONFIGURAÇÕES")</f>
        <v>2. CONFIGURAÇÕES</v>
      </c>
      <c r="C5" s="88" t="s">
        <v>126</v>
      </c>
      <c r="D5" s="88"/>
      <c r="E5" s="88"/>
      <c r="F5" s="88"/>
      <c r="G5" s="88"/>
      <c r="H5" s="88"/>
      <c r="I5" s="88"/>
    </row>
    <row r="6" spans="1:18" ht="26.1" customHeight="1" x14ac:dyDescent="0.25">
      <c r="A6" s="59" t="str">
        <f>HYPERLINK("#'3.IMPOSTOS_MEI'!A1","3. IMPOSTOS")</f>
        <v>3. IMPOSTOS</v>
      </c>
      <c r="C6" s="84" t="s">
        <v>127</v>
      </c>
      <c r="D6" s="84"/>
      <c r="E6" s="85"/>
      <c r="F6" s="66" t="s">
        <v>128</v>
      </c>
      <c r="G6" s="86" t="s">
        <v>129</v>
      </c>
      <c r="H6" s="87"/>
      <c r="I6" s="87"/>
      <c r="L6"/>
    </row>
    <row r="7" spans="1:18" ht="26.1" customHeight="1" x14ac:dyDescent="0.25">
      <c r="A7" s="59" t="str">
        <f>IF('2.1_REGIME'!$D$5="Produtos",HYPERLINK("#'5-PRODUTO'!A1","4. PRECIFICAÇÃO"),HYPERLINK("#'4-SERVIÇO'!A1","4. PRECIFICAÇÃO"))</f>
        <v>4. PRECIFICAÇÃO</v>
      </c>
    </row>
    <row r="8" spans="1:18" ht="26.1" customHeight="1" thickBot="1" x14ac:dyDescent="0.3">
      <c r="A8" s="59" t="str">
        <f>HYPERLINK("#'6-DASHBOARD'!A1","5. DASHBOARD")</f>
        <v>5. DASHBOARD</v>
      </c>
      <c r="C8" s="60" t="s">
        <v>130</v>
      </c>
      <c r="D8" s="60"/>
    </row>
    <row r="9" spans="1:18" ht="15" x14ac:dyDescent="0.25">
      <c r="C9" s="89" t="s">
        <v>131</v>
      </c>
      <c r="D9" s="89"/>
      <c r="E9" s="89"/>
      <c r="F9" s="89"/>
      <c r="G9" s="89"/>
      <c r="H9" s="89"/>
      <c r="I9" s="89"/>
    </row>
    <row r="10" spans="1:18" ht="15" x14ac:dyDescent="0.25">
      <c r="C10" s="89" t="s">
        <v>132</v>
      </c>
      <c r="D10" s="89"/>
      <c r="E10" s="89"/>
      <c r="F10" s="89"/>
      <c r="G10" s="89"/>
      <c r="H10" s="89"/>
      <c r="I10" s="89"/>
      <c r="R10" s="8"/>
    </row>
    <row r="11" spans="1:18" ht="15" x14ac:dyDescent="0.25">
      <c r="C11" s="89" t="s">
        <v>133</v>
      </c>
      <c r="D11" s="89"/>
      <c r="E11" s="89"/>
      <c r="F11" s="89"/>
      <c r="G11" s="89"/>
      <c r="H11" s="89"/>
      <c r="I11" s="89"/>
    </row>
    <row r="12" spans="1:18" ht="15" x14ac:dyDescent="0.25">
      <c r="C12" s="89" t="s">
        <v>134</v>
      </c>
      <c r="D12" s="89"/>
      <c r="E12" s="89"/>
      <c r="F12" s="89"/>
      <c r="G12" s="89"/>
      <c r="H12" s="89"/>
      <c r="I12" s="89"/>
    </row>
    <row r="14" spans="1:18" ht="26.1" customHeight="1" thickBot="1" x14ac:dyDescent="0.3">
      <c r="C14" s="60" t="s">
        <v>135</v>
      </c>
      <c r="D14" s="60"/>
    </row>
    <row r="15" spans="1:18" ht="48" customHeight="1" x14ac:dyDescent="0.25">
      <c r="C15" s="83" t="s">
        <v>136</v>
      </c>
      <c r="D15" s="83"/>
      <c r="E15" s="83"/>
      <c r="F15" s="83"/>
      <c r="G15" s="83"/>
      <c r="H15" s="83"/>
      <c r="I15" s="65"/>
    </row>
  </sheetData>
  <sheetProtection algorithmName="SHA-512" hashValue="mZgGgH+TpcZF4Y4kac7egeZ9NJ0bOhik9iZ2W+g9+3p4DhWBWZv4UifLHYTu7UQYV9QpF56TKDn8WjPCes5PnA==" saltValue="oFae06fMIwhY08XXc0+9wA==" spinCount="100000" sheet="1" objects="1" scenarios="1"/>
  <mergeCells count="8">
    <mergeCell ref="C15:H15"/>
    <mergeCell ref="C6:E6"/>
    <mergeCell ref="G6:I6"/>
    <mergeCell ref="C5:I5"/>
    <mergeCell ref="C12:I12"/>
    <mergeCell ref="C11:I11"/>
    <mergeCell ref="C10:I10"/>
    <mergeCell ref="C9:I9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515B-6552-47E9-B6C2-BF2FE95FA7E4}">
  <sheetPr>
    <pageSetUpPr autoPageBreaks="0"/>
  </sheetPr>
  <dimension ref="A1:R38"/>
  <sheetViews>
    <sheetView showGridLines="0" workbookViewId="0">
      <pane xSplit="1" ySplit="8" topLeftCell="B9" activePane="bottomRight" state="frozen"/>
      <selection activeCell="C4" sqref="C4"/>
      <selection pane="topRight" activeCell="C4" sqref="C4"/>
      <selection pane="bottomLeft" activeCell="C4" sqref="C4"/>
      <selection pane="bottomRight" activeCell="B9" sqref="B9"/>
    </sheetView>
  </sheetViews>
  <sheetFormatPr defaultRowHeight="26.1" customHeight="1" x14ac:dyDescent="0.25"/>
  <cols>
    <col min="1" max="1" width="22.7109375" customWidth="1"/>
    <col min="2" max="2" width="2.7109375" customWidth="1"/>
    <col min="3" max="3" width="22.7109375" customWidth="1"/>
    <col min="4" max="4" width="21.85546875" style="44" customWidth="1"/>
    <col min="5" max="5" width="2.7109375" customWidth="1"/>
    <col min="6" max="6" width="22.42578125" customWidth="1"/>
    <col min="7" max="7" width="26.7109375" customWidth="1"/>
    <col min="8" max="8" width="2.7109375" customWidth="1"/>
    <col min="9" max="9" width="16.85546875" customWidth="1"/>
    <col min="10" max="10" width="18" customWidth="1"/>
    <col min="11" max="11" width="2.7109375" customWidth="1"/>
    <col min="12" max="12" width="16.7109375" customWidth="1"/>
    <col min="13" max="13" width="13.7109375" customWidth="1"/>
    <col min="14" max="15" width="18" customWidth="1"/>
    <col min="17" max="17" width="0" hidden="1" customWidth="1"/>
  </cols>
  <sheetData>
    <row r="1" spans="1:18" s="42" customFormat="1" ht="26.1" customHeight="1" x14ac:dyDescent="0.35">
      <c r="A1"/>
      <c r="B1" s="21" t="s">
        <v>78</v>
      </c>
      <c r="C1" s="21"/>
      <c r="D1" s="43"/>
    </row>
    <row r="2" spans="1:18" s="42" customFormat="1" ht="26.1" customHeight="1" x14ac:dyDescent="0.25">
      <c r="A2"/>
      <c r="B2" s="69" t="s">
        <v>79</v>
      </c>
      <c r="C2" s="69"/>
      <c r="D2" s="69"/>
      <c r="E2" s="69"/>
      <c r="F2" s="69"/>
    </row>
    <row r="3" spans="1:18" ht="23.25" x14ac:dyDescent="0.25">
      <c r="A3" s="63" t="s">
        <v>117</v>
      </c>
    </row>
    <row r="4" spans="1:18" ht="26.1" customHeight="1" x14ac:dyDescent="0.25">
      <c r="A4" s="59" t="str">
        <f>HYPERLINK("#'1-INSTRUÇÕES'!A1","1. INSTRUÇÕES")</f>
        <v>1. INSTRUÇÕES</v>
      </c>
      <c r="C4" s="23" t="s">
        <v>97</v>
      </c>
    </row>
    <row r="5" spans="1:18" ht="26.1" customHeight="1" x14ac:dyDescent="0.25">
      <c r="A5" s="59" t="str">
        <f>HYPERLINK("#'2.1_REGIME'!A1","2. CONFIGURAÇÕES")</f>
        <v>2. CONFIGURAÇÕES</v>
      </c>
      <c r="C5" s="74" t="s">
        <v>98</v>
      </c>
      <c r="D5" s="74"/>
      <c r="E5" s="57"/>
      <c r="F5" s="74" t="s">
        <v>120</v>
      </c>
      <c r="G5" s="74"/>
      <c r="H5" s="57"/>
      <c r="I5" s="74" t="s">
        <v>99</v>
      </c>
      <c r="J5" s="74"/>
      <c r="K5" s="57"/>
      <c r="L5" s="74" t="s">
        <v>100</v>
      </c>
      <c r="M5" s="74"/>
    </row>
    <row r="6" spans="1:18" ht="26.1" customHeight="1" x14ac:dyDescent="0.35">
      <c r="A6" s="59" t="str">
        <f>HYPERLINK("#'3.IMPOSTOS_MEI'!A1","3. IMPOSTOS")</f>
        <v>3. IMPOSTOS</v>
      </c>
      <c r="C6" s="78">
        <f>$D$12</f>
        <v>0</v>
      </c>
      <c r="D6" s="78"/>
      <c r="E6" s="57"/>
      <c r="F6" s="79" t="str">
        <f>IF($D$13=0,"—",$D$13)</f>
        <v>—</v>
      </c>
      <c r="G6" s="79"/>
      <c r="H6" s="57"/>
      <c r="I6" s="78" t="str">
        <f>$D$25</f>
        <v>—</v>
      </c>
      <c r="J6" s="78"/>
      <c r="K6" s="57"/>
      <c r="L6" s="78">
        <f>IFERROR(MEDIAN($G$13:$G$17),0)</f>
        <v>0</v>
      </c>
      <c r="M6" s="78"/>
    </row>
    <row r="7" spans="1:18" ht="26.1" customHeight="1" x14ac:dyDescent="0.25">
      <c r="A7" s="59" t="str">
        <f>IF('2.1_REGIME'!$D$5="Produtos",HYPERLINK("#'5-PRODUTO'!A1","4. PRECIFICAÇÃO"),HYPERLINK("#'4-SERVIÇO'!A1","4. PRECIFICAÇÃO"))</f>
        <v>4. PRECIFICAÇÃO</v>
      </c>
      <c r="C7" s="80"/>
      <c r="D7" s="80"/>
      <c r="F7" s="61" t="str">
        <f>IF(OR($D$13=0,NOT(ISNUMBER($G$23))),"",IF($G$23&gt;$D$13,"▲ precisa vender mais "&amp;TEXT($G$23-$D$13,"0"),TEXT($D$13-$G$23,"0")&amp;" vendas de folga"))</f>
        <v/>
      </c>
      <c r="G7" s="61" t="str">
        <f>IF($G$26=0,"informe se souber",IF(OR($F$6=0,NOT(ISNUMBER($G$23))),"",IF($G$23&gt;$G$26,"▲ não comporta o equilíbrio","Comporta o volume necessário")))</f>
        <v>informe se souber</v>
      </c>
      <c r="I7" s="80" t="str">
        <f>IF(OR($D$12=0,$D$25="—"),"",IF($D$25&gt;$D$12,"▲ Faltam "&amp;TEXT($D$25-$D$12,"R$ #.##0")&amp;" para o ponto de equilíbrio.",TEXT($D$12-$D$25,"R$ #.##0")&amp;" acima do ponto de equilíbrio"))</f>
        <v/>
      </c>
      <c r="J7" s="80"/>
      <c r="L7" s="80" t="str">
        <f>IF(OR($D$12=0,$L$6=0),"",IF($L$6&gt;$D$12,TEXT($L$6-$D$12,"R$ #.##0,00")&amp;" abaixo do mercado.","Você está acima do mercado"))</f>
        <v/>
      </c>
      <c r="M7" s="80"/>
    </row>
    <row r="8" spans="1:18" ht="26.1" customHeight="1" x14ac:dyDescent="0.25">
      <c r="A8" s="58" t="str">
        <f>HYPERLINK("#'6-DASHBOARD'!A1","5. DASHBOARD")</f>
        <v>5. DASHBOARD</v>
      </c>
      <c r="C8" s="76" t="str">
        <f>IF($D$12=0,"Informe o preço que você pratica hoje, no bloco abaixo.",IF($D$13=0,"Informe suas vendas do mês para completar o diagnóstico.",IF($I$6="—","",IF($D$12&gt;=$I$6,"Seu preço cobre os custos no volume atual."&amp;IF($L$6=0,""," O mercado pratica "&amp;TEXT($L$6,"R$ #.##0,00")&amp;"."),"Seu preço está "&amp;TEXT($I$6-$D$12,"R$ #.##0,00")&amp;" abaixo do necessário para cobrir os custos vendendo "&amp;TEXT($D$13,"0")&amp;" por mês."&amp;IF($L$6=0,"",IF($I$6&lt;=$L$6," O mercado permite subir até "&amp;TEXT($L$6,"R$ #.##0,00")&amp;"."," Atenção: o preço necessário já passa da mediana do mercado."))))))</f>
        <v>Informe o preço que você pratica hoje, no bloco abaixo.</v>
      </c>
      <c r="D8" s="76"/>
      <c r="E8" s="76"/>
      <c r="F8" s="76"/>
      <c r="G8" s="76"/>
      <c r="H8" s="76"/>
      <c r="I8" s="76"/>
      <c r="J8" s="76"/>
      <c r="K8" s="76"/>
      <c r="L8" s="76"/>
      <c r="M8" s="76"/>
    </row>
    <row r="9" spans="1:18" ht="9.9499999999999993" customHeight="1" x14ac:dyDescent="0.25">
      <c r="A9" s="11"/>
    </row>
    <row r="10" spans="1:18" ht="26.1" customHeight="1" x14ac:dyDescent="0.25">
      <c r="A10" s="11"/>
      <c r="C10" s="23" t="s">
        <v>101</v>
      </c>
      <c r="R10" s="56"/>
    </row>
    <row r="11" spans="1:18" ht="26.1" customHeight="1" thickBot="1" x14ac:dyDescent="0.3">
      <c r="C11" s="73" t="s">
        <v>103</v>
      </c>
      <c r="D11" s="73"/>
      <c r="F11" s="73" t="s">
        <v>104</v>
      </c>
      <c r="G11" s="73"/>
      <c r="H11" s="73"/>
      <c r="I11" s="73"/>
    </row>
    <row r="12" spans="1:18" ht="26.1" customHeight="1" x14ac:dyDescent="0.25">
      <c r="C12" s="19" t="s">
        <v>83</v>
      </c>
      <c r="D12" s="49"/>
      <c r="F12" s="19" t="s">
        <v>110</v>
      </c>
      <c r="G12" s="19" t="s">
        <v>84</v>
      </c>
      <c r="H12" s="77" t="s">
        <v>85</v>
      </c>
      <c r="I12" s="77"/>
    </row>
    <row r="13" spans="1:18" ht="26.1" customHeight="1" x14ac:dyDescent="0.25">
      <c r="C13" s="19" t="s">
        <v>86</v>
      </c>
      <c r="D13" s="51"/>
      <c r="F13" s="48" t="s">
        <v>105</v>
      </c>
      <c r="G13" s="49"/>
      <c r="H13" s="75"/>
      <c r="I13" s="75"/>
    </row>
    <row r="14" spans="1:18" ht="26.1" customHeight="1" x14ac:dyDescent="0.25">
      <c r="C14" s="19" t="s">
        <v>102</v>
      </c>
      <c r="D14" s="50"/>
      <c r="F14" s="48" t="s">
        <v>106</v>
      </c>
      <c r="G14" s="49"/>
      <c r="H14" s="75"/>
      <c r="I14" s="75"/>
    </row>
    <row r="15" spans="1:18" ht="26.1" customHeight="1" x14ac:dyDescent="0.25">
      <c r="C15" s="19" t="s">
        <v>77</v>
      </c>
      <c r="D15" s="50"/>
      <c r="F15" s="48" t="s">
        <v>107</v>
      </c>
      <c r="G15" s="49"/>
      <c r="H15" s="75"/>
      <c r="I15" s="75"/>
    </row>
    <row r="16" spans="1:18" ht="26.1" customHeight="1" x14ac:dyDescent="0.25">
      <c r="C16" s="19" t="s">
        <v>124</v>
      </c>
      <c r="D16" s="62"/>
      <c r="F16" s="48" t="s">
        <v>108</v>
      </c>
      <c r="G16" s="49"/>
      <c r="H16" s="75"/>
      <c r="I16" s="75"/>
    </row>
    <row r="17" spans="3:17" ht="26.1" customHeight="1" x14ac:dyDescent="0.25">
      <c r="F17" s="48" t="s">
        <v>109</v>
      </c>
      <c r="G17" s="49"/>
      <c r="H17" s="75"/>
      <c r="I17" s="75"/>
    </row>
    <row r="18" spans="3:17" ht="26.1" customHeight="1" x14ac:dyDescent="0.25">
      <c r="C18" s="23" t="s">
        <v>111</v>
      </c>
    </row>
    <row r="19" spans="3:17" ht="32.1" customHeight="1" thickBot="1" x14ac:dyDescent="0.3">
      <c r="C19" s="73" t="s">
        <v>112</v>
      </c>
      <c r="D19" s="73"/>
      <c r="F19" s="73" t="s">
        <v>113</v>
      </c>
      <c r="G19" s="73"/>
      <c r="I19" s="60" t="s">
        <v>121</v>
      </c>
      <c r="J19" s="60"/>
      <c r="K19" s="60"/>
      <c r="L19" s="60"/>
      <c r="M19" s="60"/>
      <c r="N19" s="60"/>
      <c r="O19" s="60"/>
    </row>
    <row r="20" spans="3:17" ht="32.1" customHeight="1" x14ac:dyDescent="0.25">
      <c r="C20" s="19" t="s">
        <v>80</v>
      </c>
      <c r="D20" s="46">
        <f>IF('2.1_REGIME'!$D$5="Produtos",'5-PRODUTO'!$G$30,'4-SERVIÇO'!$G$15)+$D$27*$D$28</f>
        <v>0</v>
      </c>
      <c r="F20" s="19" t="s">
        <v>87</v>
      </c>
      <c r="G20" s="46">
        <f>(TotalCustosFixos + IF(RegimeTributario="MEI",'3.IMPOSTOS_MEI'!$D$6,0) + MAX(0,SUM(CustoMensalMaoDeObra)-$D$27*$D$13*$D$28)) * $D$14</f>
        <v>0</v>
      </c>
      <c r="I20" s="19" t="s">
        <v>122</v>
      </c>
      <c r="J20" s="26">
        <v>2</v>
      </c>
      <c r="K20" s="70">
        <v>5</v>
      </c>
      <c r="L20" s="70"/>
      <c r="M20" s="26">
        <v>6</v>
      </c>
      <c r="N20" s="26">
        <v>8</v>
      </c>
      <c r="O20" s="26">
        <v>10</v>
      </c>
    </row>
    <row r="21" spans="3:17" ht="32.1" customHeight="1" x14ac:dyDescent="0.25">
      <c r="C21" s="19" t="s">
        <v>81</v>
      </c>
      <c r="D21" s="46">
        <f>IFERROR($G$20/$D$13,0)</f>
        <v>0</v>
      </c>
      <c r="F21" s="19" t="s">
        <v>88</v>
      </c>
      <c r="G21" s="46">
        <f>IF($D$12=0,0,$D$12*(1-$D$23-$D$24)-$D$20)</f>
        <v>0</v>
      </c>
      <c r="I21" s="31">
        <v>900</v>
      </c>
      <c r="J21" s="37">
        <f>($I21*(1-$D$23-$D$24)-$D$20)*J$20-$G$20</f>
        <v>1728</v>
      </c>
      <c r="K21" s="71">
        <f>($I21*(1-$D$23-$D$24)-$D$20)*K$20-$G$20</f>
        <v>4320</v>
      </c>
      <c r="L21" s="72"/>
      <c r="M21" s="37">
        <f>($I21*(1-$D$23-$D$24)-$D$20)*M$20-$G$20</f>
        <v>5184</v>
      </c>
      <c r="N21" s="37">
        <f t="shared" ref="N21:O21" si="0">($I21*(1-$D$23-$D$24)-$D$20)*N$20-$G$20</f>
        <v>6912</v>
      </c>
      <c r="O21" s="37">
        <f t="shared" si="0"/>
        <v>8640</v>
      </c>
    </row>
    <row r="22" spans="3:17" ht="32.1" customHeight="1" x14ac:dyDescent="0.25">
      <c r="C22" s="19" t="s">
        <v>49</v>
      </c>
      <c r="D22" s="46">
        <f>$D$20+$D$21</f>
        <v>0</v>
      </c>
      <c r="F22" s="19" t="s">
        <v>89</v>
      </c>
      <c r="G22" s="52">
        <f>IFERROR($G$21/$D$12,0)</f>
        <v>0</v>
      </c>
      <c r="I22" s="31">
        <v>1200</v>
      </c>
      <c r="J22" s="37">
        <f t="shared" ref="J22:K25" si="1">($I22*(1-$D$23-$D$24)-$D$20)*J$20-$G$20</f>
        <v>2304</v>
      </c>
      <c r="K22" s="71">
        <f t="shared" si="1"/>
        <v>5760</v>
      </c>
      <c r="L22" s="72"/>
      <c r="M22" s="37">
        <f>($I22*(1-$D$23-$D$24)-$D$20)*M$20-$G$20</f>
        <v>6912</v>
      </c>
      <c r="N22" s="37">
        <f t="shared" ref="M22:O25" si="2">($I22*(1-$D$23-$D$24)-$D$20)*N$20-$G$20</f>
        <v>9216</v>
      </c>
      <c r="O22" s="37">
        <f t="shared" si="2"/>
        <v>11520</v>
      </c>
    </row>
    <row r="23" spans="3:17" ht="32.1" customHeight="1" x14ac:dyDescent="0.25">
      <c r="C23" s="19" t="s">
        <v>73</v>
      </c>
      <c r="D23" s="93">
        <f>IF(RegimeTributario="Simples Nacional",'3.IMPOSTOS_SIMPLES'!D10,IF(RegimeTributario="Lucro Presumido",'3.IMPOSTOS_LUCRO-PRESUMIDO'!$D$13,0))</f>
        <v>0.04</v>
      </c>
      <c r="F23" s="19" t="s">
        <v>90</v>
      </c>
      <c r="G23" s="53" t="str">
        <f>IF($G$21&lt;=0,"Impossível",ROUNDUP($G$20/$G$21,0))</f>
        <v>Impossível</v>
      </c>
      <c r="I23" s="31">
        <v>1500</v>
      </c>
      <c r="J23" s="37">
        <f t="shared" si="1"/>
        <v>2880</v>
      </c>
      <c r="K23" s="71">
        <f t="shared" si="1"/>
        <v>7200</v>
      </c>
      <c r="L23" s="72"/>
      <c r="M23" s="37">
        <f t="shared" si="2"/>
        <v>8640</v>
      </c>
      <c r="N23" s="37">
        <f t="shared" si="2"/>
        <v>11520</v>
      </c>
      <c r="O23" s="37">
        <f t="shared" si="2"/>
        <v>14400</v>
      </c>
    </row>
    <row r="24" spans="3:17" ht="32.1" customHeight="1" x14ac:dyDescent="0.25">
      <c r="C24" s="19" t="s">
        <v>56</v>
      </c>
      <c r="D24" s="47">
        <f>$D$15</f>
        <v>0</v>
      </c>
      <c r="F24" s="19" t="s">
        <v>91</v>
      </c>
      <c r="G24" s="52" t="str">
        <f>IF(OR($D$13=0,NOT(ISNUMBER($G$23))),"—",($D$13-$G$23)/$D$13)</f>
        <v>—</v>
      </c>
      <c r="I24" s="31">
        <v>1800</v>
      </c>
      <c r="J24" s="37">
        <f t="shared" si="1"/>
        <v>3456</v>
      </c>
      <c r="K24" s="71">
        <f t="shared" si="1"/>
        <v>8640</v>
      </c>
      <c r="L24" s="72"/>
      <c r="M24" s="37">
        <f t="shared" si="2"/>
        <v>10368</v>
      </c>
      <c r="N24" s="37">
        <f t="shared" si="2"/>
        <v>13824</v>
      </c>
      <c r="O24" s="37">
        <f t="shared" si="2"/>
        <v>17280</v>
      </c>
    </row>
    <row r="25" spans="3:17" ht="32.1" customHeight="1" x14ac:dyDescent="0.25">
      <c r="C25" s="19" t="s">
        <v>82</v>
      </c>
      <c r="D25" s="46" t="str">
        <f>IF(OR($D$13=0,(1-$D$23-$D$24)&lt;=0),"—",$D$22/(1-$D$23-$D$24))</f>
        <v>—</v>
      </c>
      <c r="F25" s="19" t="s">
        <v>92</v>
      </c>
      <c r="G25" s="46">
        <f>IF($G$21&lt;=0,0,$G$21*$D$13-$G$20)</f>
        <v>0</v>
      </c>
      <c r="I25" s="31">
        <v>2000</v>
      </c>
      <c r="J25" s="37">
        <f t="shared" si="1"/>
        <v>3840</v>
      </c>
      <c r="K25" s="71">
        <f t="shared" si="1"/>
        <v>9600</v>
      </c>
      <c r="L25" s="72"/>
      <c r="M25" s="37">
        <f t="shared" si="2"/>
        <v>11520</v>
      </c>
      <c r="N25" s="37">
        <f t="shared" si="2"/>
        <v>15360</v>
      </c>
      <c r="O25" s="37">
        <f t="shared" si="2"/>
        <v>19200</v>
      </c>
    </row>
    <row r="26" spans="3:17" s="44" customFormat="1" ht="32.1" customHeight="1" x14ac:dyDescent="0.25">
      <c r="C26"/>
      <c r="D26"/>
      <c r="F26" s="19" t="s">
        <v>116</v>
      </c>
      <c r="G26" s="55">
        <f>IF($D$16&gt;0,$D$16,IFERROR(ROUNDDOWN(MIN($O$32:$O$36),0),0))</f>
        <v>0</v>
      </c>
      <c r="I26" s="69" t="str">
        <f>IF(MAX($J$20:$N$20)&lt;=$G$26,"","As colunas em cinza estão acima da sua capacidade de "&amp;TEXT($G$26,"0")&amp;" unidades. Para alcançá-las seria preciso aumentar a equipe ou as horas disponíveis.")</f>
        <v>As colunas em cinza estão acima da sua capacidade de 0 unidades. Para alcançá-las seria preciso aumentar a equipe ou as horas disponíveis.</v>
      </c>
      <c r="J26" s="69"/>
      <c r="K26" s="69"/>
      <c r="L26" s="69"/>
      <c r="M26" s="69"/>
      <c r="N26" s="69"/>
      <c r="O26" s="69"/>
    </row>
    <row r="27" spans="3:17" ht="32.1" customHeight="1" x14ac:dyDescent="0.25">
      <c r="C27" s="19" t="s">
        <v>137</v>
      </c>
      <c r="D27" s="68">
        <f>IF('2.1_REGIME'!$D$5="Produtos",SUM('5-PRODUTO'!$E$23:$E$27),SUM('4-SERVIÇO'!$E$8:$E$12))</f>
        <v>0</v>
      </c>
    </row>
    <row r="28" spans="3:17" ht="26.1" customHeight="1" x14ac:dyDescent="0.25">
      <c r="C28" s="19" t="s">
        <v>138</v>
      </c>
      <c r="D28" s="34">
        <f>IFERROR(SUM(CustoMensalMaoDeObra)/SUM(HorasDisponiveis),0)</f>
        <v>0</v>
      </c>
      <c r="O28" s="44"/>
    </row>
    <row r="29" spans="3:17" ht="26.1" customHeight="1" x14ac:dyDescent="0.25">
      <c r="D29"/>
      <c r="O29" s="44"/>
    </row>
    <row r="30" spans="3:17" ht="26.1" customHeight="1" x14ac:dyDescent="0.25">
      <c r="C30" s="23" t="s">
        <v>114</v>
      </c>
    </row>
    <row r="31" spans="3:17" ht="26.1" customHeight="1" x14ac:dyDescent="0.25">
      <c r="C31" s="19" t="s">
        <v>38</v>
      </c>
      <c r="D31" s="77" t="s">
        <v>93</v>
      </c>
      <c r="E31" s="77"/>
      <c r="F31" s="19" t="s">
        <v>94</v>
      </c>
      <c r="G31" s="19" t="s">
        <v>95</v>
      </c>
      <c r="H31" s="77" t="s">
        <v>96</v>
      </c>
      <c r="I31" s="77"/>
      <c r="Q31" s="19" t="s">
        <v>115</v>
      </c>
    </row>
    <row r="32" spans="3:17" ht="26.1" customHeight="1" x14ac:dyDescent="0.25">
      <c r="C32" s="45" t="str">
        <f>IFERROR(IF('2.3_MÃO_DE_OBRA'!C5="","",'2.3_MÃO_DE_OBRA'!C5),"")</f>
        <v/>
      </c>
      <c r="D32" s="82" t="str">
        <f>IFERROR(IF($C32="","",'2.3_MÃO_DE_OBRA'!G5),"")</f>
        <v/>
      </c>
      <c r="E32" s="82"/>
      <c r="F32" s="54" t="str">
        <f>IF($C32="","",IF('2.1_REGIME'!$D$5="Produtos",SUMIF('5-PRODUTO'!$C$23:$C$27,$C32,'5-PRODUTO'!$E$23:$E$27),SUMIF('4-SERVIÇO'!$C$8:$C$12,$C32,'4-SERVIÇO'!$E$8:$E$12)))</f>
        <v/>
      </c>
      <c r="G32" s="54" t="str">
        <f>IF($C32="","",$F32*$D$13)</f>
        <v/>
      </c>
      <c r="H32" s="81" t="str">
        <f>IFERROR(IF($C32="","",$G32/$D32),"")</f>
        <v/>
      </c>
      <c r="I32" s="81"/>
      <c r="Q32" s="45" t="str">
        <f>IFERROR(IF($F32&gt;0,$D32/$F32,""),"")</f>
        <v/>
      </c>
    </row>
    <row r="33" spans="3:17" ht="26.1" customHeight="1" x14ac:dyDescent="0.25">
      <c r="C33" s="45" t="str">
        <f>IFERROR(IF('2.3_MÃO_DE_OBRA'!C6="","",'2.3_MÃO_DE_OBRA'!C6),"")</f>
        <v/>
      </c>
      <c r="D33" s="82" t="str">
        <f>IFERROR(IF($C33="","",'2.3_MÃO_DE_OBRA'!G6),"")</f>
        <v/>
      </c>
      <c r="E33" s="82"/>
      <c r="F33" s="54" t="str">
        <f>IF($C33="","",IF('2.1_REGIME'!$D$5="Produtos",SUMIF('5-PRODUTO'!$C$23:$C$27,$C33,'5-PRODUTO'!$E$23:$E$27),SUMIF('4-SERVIÇO'!$C$8:$C$12,$C33,'4-SERVIÇO'!$E$8:$E$12)))</f>
        <v/>
      </c>
      <c r="G33" s="54" t="str">
        <f>IF($C33="","",$F33*$D$13)</f>
        <v/>
      </c>
      <c r="H33" s="81" t="str">
        <f t="shared" ref="H33:H36" si="3">IFERROR(IF($C33="","",$G33/$D33),"")</f>
        <v/>
      </c>
      <c r="I33" s="81"/>
      <c r="Q33" s="45" t="str">
        <f>IFERROR(IF($F33&gt;0,$D33/$F33,""),"")</f>
        <v/>
      </c>
    </row>
    <row r="34" spans="3:17" ht="26.1" customHeight="1" x14ac:dyDescent="0.25">
      <c r="C34" s="45" t="str">
        <f>IFERROR(IF('2.3_MÃO_DE_OBRA'!C7="","",'2.3_MÃO_DE_OBRA'!C7),"")</f>
        <v/>
      </c>
      <c r="D34" s="82" t="str">
        <f>IFERROR(IF($C34="","",'2.3_MÃO_DE_OBRA'!G7),"")</f>
        <v/>
      </c>
      <c r="E34" s="82"/>
      <c r="F34" s="54" t="str">
        <f>IF($C34="","",IF('2.1_REGIME'!$D$5="Produtos",SUMIF('5-PRODUTO'!$C$23:$C$27,$C34,'5-PRODUTO'!$E$23:$E$27),SUMIF('4-SERVIÇO'!$C$8:$C$12,$C34,'4-SERVIÇO'!$E$8:$E$12)))</f>
        <v/>
      </c>
      <c r="G34" s="54" t="str">
        <f>IF($C34="","",$F34*$D$13)</f>
        <v/>
      </c>
      <c r="H34" s="81" t="str">
        <f t="shared" si="3"/>
        <v/>
      </c>
      <c r="I34" s="81"/>
      <c r="Q34" s="45" t="str">
        <f>IFERROR(IF($F34&gt;0,$D34/$F34,""),"")</f>
        <v/>
      </c>
    </row>
    <row r="35" spans="3:17" ht="26.1" customHeight="1" x14ac:dyDescent="0.25">
      <c r="C35" s="45" t="str">
        <f>IFERROR(IF('2.3_MÃO_DE_OBRA'!C8="","",'2.3_MÃO_DE_OBRA'!C8),"")</f>
        <v/>
      </c>
      <c r="D35" s="82" t="str">
        <f>IFERROR(IF($C35="","",'2.3_MÃO_DE_OBRA'!G8),"")</f>
        <v/>
      </c>
      <c r="E35" s="82"/>
      <c r="F35" s="54" t="str">
        <f>IF($C35="","",IF('2.1_REGIME'!$D$5="Produtos",SUMIF('5-PRODUTO'!$C$23:$C$27,$C35,'5-PRODUTO'!$E$23:$E$27),SUMIF('4-SERVIÇO'!$C$8:$C$12,$C35,'4-SERVIÇO'!$E$8:$E$12)))</f>
        <v/>
      </c>
      <c r="G35" s="54" t="str">
        <f>IF($C35="","",$F35*$D$13)</f>
        <v/>
      </c>
      <c r="H35" s="81" t="str">
        <f t="shared" si="3"/>
        <v/>
      </c>
      <c r="I35" s="81"/>
      <c r="Q35" s="45" t="str">
        <f>IFERROR(IF($F35&gt;0,$D35/$F35,""),"")</f>
        <v/>
      </c>
    </row>
    <row r="36" spans="3:17" ht="26.1" customHeight="1" x14ac:dyDescent="0.25">
      <c r="C36" s="45" t="str">
        <f>IFERROR(IF('2.3_MÃO_DE_OBRA'!C9="","",'2.3_MÃO_DE_OBRA'!C9),"")</f>
        <v/>
      </c>
      <c r="D36" s="82" t="str">
        <f>IFERROR(IF($C36="","",'2.3_MÃO_DE_OBRA'!G9),"")</f>
        <v/>
      </c>
      <c r="E36" s="82"/>
      <c r="F36" s="54" t="str">
        <f>IF($C36="","",IF('2.1_REGIME'!$D$5="Produtos",SUMIF('5-PRODUTO'!$C$23:$C$27,$C36,'5-PRODUTO'!$E$23:$E$27),SUMIF('4-SERVIÇO'!$C$8:$C$12,$C36,'4-SERVIÇO'!$E$8:$E$12)))</f>
        <v/>
      </c>
      <c r="G36" s="54" t="str">
        <f>IF($C36="","",$F36*$D$13)</f>
        <v/>
      </c>
      <c r="H36" s="81" t="str">
        <f t="shared" si="3"/>
        <v/>
      </c>
      <c r="I36" s="81"/>
      <c r="Q36" s="45" t="str">
        <f>IFERROR(IF($F36&gt;0,$D36/$F36,""),"")</f>
        <v/>
      </c>
    </row>
    <row r="37" spans="3:17" ht="26.1" customHeight="1" x14ac:dyDescent="0.25">
      <c r="C37" s="76" t="str">
        <f>IF($G$26=0,"",IF(NOT(ISNUMBER($G$23)),"",IF($G$23&gt;$G$26,"⚠ Você precisa vender "&amp;TEXT($G$23,"0")&amp;" para cobrir os custos, mas sua capacidade máxima é "&amp;TEXT($G$26,"0")&amp;". Trabalhando no limite você ainda não fecha a conta.","")))</f>
        <v/>
      </c>
      <c r="D37" s="76"/>
      <c r="E37" s="76"/>
      <c r="F37" s="76"/>
      <c r="G37" s="76"/>
      <c r="H37" s="76"/>
      <c r="I37" s="76"/>
      <c r="J37" s="18"/>
      <c r="K37" s="18"/>
      <c r="L37" s="18"/>
      <c r="M37" s="18"/>
    </row>
    <row r="38" spans="3:17" ht="26.1" customHeight="1" x14ac:dyDescent="0.25">
      <c r="C38" s="76" t="str">
        <f>IF($G$26=0,"",IF(NOT(ISNUMBER($G$23)),"",IF($G$23&gt;$G$26,"⚠ Seu ponto de equilíbrio ("&amp;TEXT($G$23,"0")&amp;") é maior que sua capacidade máxima ("&amp;TEXT($G$26,"0")&amp;"). Trabalhando no limite você ainda não cobre o custo fixo.","")))</f>
        <v/>
      </c>
      <c r="D38" s="76"/>
      <c r="E38" s="76"/>
      <c r="F38" s="76"/>
      <c r="G38" s="76"/>
      <c r="H38" s="76"/>
      <c r="I38" s="76"/>
      <c r="J38" s="76"/>
      <c r="K38" s="76"/>
      <c r="L38" s="76"/>
      <c r="M38" s="76"/>
    </row>
  </sheetData>
  <sheetProtection algorithmName="SHA-512" hashValue="IRK0+DhMqaeVfZp3TIYr8UQ5a87OhxwmQHl1oNbr/8DdYL0yFLiBPK/IVBfe1/S1zedutmW8SfM3d0fElWC6yA==" saltValue="VHX0ydoOhrgHSA32Ko33vQ==" spinCount="100000" sheet="1" objects="1" scenarios="1"/>
  <mergeCells count="44">
    <mergeCell ref="C38:M38"/>
    <mergeCell ref="H36:I36"/>
    <mergeCell ref="D31:E31"/>
    <mergeCell ref="D32:E32"/>
    <mergeCell ref="D33:E33"/>
    <mergeCell ref="D34:E34"/>
    <mergeCell ref="D35:E35"/>
    <mergeCell ref="D36:E36"/>
    <mergeCell ref="H31:I31"/>
    <mergeCell ref="C37:I37"/>
    <mergeCell ref="H32:I32"/>
    <mergeCell ref="H33:I33"/>
    <mergeCell ref="H34:I34"/>
    <mergeCell ref="H35:I35"/>
    <mergeCell ref="L5:M5"/>
    <mergeCell ref="C8:M8"/>
    <mergeCell ref="C11:D11"/>
    <mergeCell ref="H12:I12"/>
    <mergeCell ref="H13:I13"/>
    <mergeCell ref="C6:D6"/>
    <mergeCell ref="I6:J6"/>
    <mergeCell ref="F5:G5"/>
    <mergeCell ref="F6:G6"/>
    <mergeCell ref="L6:M6"/>
    <mergeCell ref="C7:D7"/>
    <mergeCell ref="I7:J7"/>
    <mergeCell ref="L7:M7"/>
    <mergeCell ref="F11:I11"/>
    <mergeCell ref="C19:D19"/>
    <mergeCell ref="F19:G19"/>
    <mergeCell ref="B2:F2"/>
    <mergeCell ref="C5:D5"/>
    <mergeCell ref="I5:J5"/>
    <mergeCell ref="H14:I14"/>
    <mergeCell ref="H15:I15"/>
    <mergeCell ref="H16:I16"/>
    <mergeCell ref="H17:I17"/>
    <mergeCell ref="I26:O26"/>
    <mergeCell ref="K20:L20"/>
    <mergeCell ref="K25:L25"/>
    <mergeCell ref="K24:L24"/>
    <mergeCell ref="K23:L23"/>
    <mergeCell ref="K22:L22"/>
    <mergeCell ref="K21:L21"/>
  </mergeCells>
  <phoneticPr fontId="16" type="noConversion"/>
  <conditionalFormatting sqref="D12">
    <cfRule type="expression" dxfId="10" priority="13">
      <formula>AND($D$12&gt;0,$D$12&lt;$D$25)</formula>
    </cfRule>
  </conditionalFormatting>
  <conditionalFormatting sqref="G21">
    <cfRule type="expression" dxfId="9" priority="11">
      <formula>$G$21&lt;=0</formula>
    </cfRule>
  </conditionalFormatting>
  <conditionalFormatting sqref="G23">
    <cfRule type="expression" dxfId="8" priority="19">
      <formula>AND(ISNUMBER($G$23),$G$23&gt;$G$26)</formula>
    </cfRule>
  </conditionalFormatting>
  <conditionalFormatting sqref="G24">
    <cfRule type="expression" dxfId="7" priority="8">
      <formula>AND(ISNUMBER($G$24),$G$24&lt;0.2)</formula>
    </cfRule>
  </conditionalFormatting>
  <conditionalFormatting sqref="G25">
    <cfRule type="expression" dxfId="6" priority="6">
      <formula>$G$25&lt;0</formula>
    </cfRule>
  </conditionalFormatting>
  <conditionalFormatting sqref="H32:H36">
    <cfRule type="expression" dxfId="5" priority="17">
      <formula>$H32&gt;1</formula>
    </cfRule>
  </conditionalFormatting>
  <conditionalFormatting sqref="J20:O20">
    <cfRule type="expression" dxfId="4" priority="3">
      <formula>AND($G$26&gt;0,J20&gt;$G$26)</formula>
    </cfRule>
  </conditionalFormatting>
  <conditionalFormatting sqref="J21:O25">
    <cfRule type="expression" dxfId="3" priority="2" stopIfTrue="1">
      <formula>AND($G$26&gt;0,J$20&gt;$G$26)</formula>
    </cfRule>
    <cfRule type="expression" dxfId="2" priority="4">
      <formula>J21&lt;0</formula>
    </cfRule>
    <cfRule type="expression" dxfId="1" priority="5">
      <formula>J21&gt;0</formula>
    </cfRule>
  </conditionalFormatting>
  <conditionalFormatting sqref="D23">
    <cfRule type="containsText" dxfId="0" priority="1" operator="containsText" text="faturamento">
      <formula>NOT(ISERROR(SEARCH("faturamento",D23)))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7F9E-C53E-4736-AA97-6B6D86C656D7}">
  <dimension ref="A1:F7"/>
  <sheetViews>
    <sheetView zoomScaleNormal="100" workbookViewId="0">
      <selection activeCell="O35" sqref="O35"/>
    </sheetView>
  </sheetViews>
  <sheetFormatPr defaultColWidth="8.7109375" defaultRowHeight="15" x14ac:dyDescent="0.25"/>
  <sheetData>
    <row r="1" spans="1:6" x14ac:dyDescent="0.25">
      <c r="A1" t="s">
        <v>0</v>
      </c>
      <c r="B1">
        <v>0.32</v>
      </c>
      <c r="C1">
        <v>0.15</v>
      </c>
      <c r="D1">
        <v>0.09</v>
      </c>
      <c r="E1">
        <v>6.4999999999999997E-3</v>
      </c>
      <c r="F1">
        <v>0.03</v>
      </c>
    </row>
    <row r="2" spans="1:6" x14ac:dyDescent="0.25">
      <c r="A2" t="s">
        <v>24</v>
      </c>
      <c r="B2">
        <v>0.08</v>
      </c>
      <c r="C2">
        <v>0.15</v>
      </c>
      <c r="D2">
        <v>0.09</v>
      </c>
      <c r="E2">
        <v>6.4999999999999997E-3</v>
      </c>
      <c r="F2">
        <v>0.03</v>
      </c>
    </row>
    <row r="3" spans="1:6" x14ac:dyDescent="0.25">
      <c r="A3" t="s">
        <v>25</v>
      </c>
      <c r="B3">
        <v>0.08</v>
      </c>
      <c r="C3">
        <v>0.15</v>
      </c>
      <c r="D3">
        <v>0.09</v>
      </c>
      <c r="E3">
        <v>6.4999999999999997E-3</v>
      </c>
      <c r="F3">
        <v>0.03</v>
      </c>
    </row>
    <row r="4" spans="1:6" x14ac:dyDescent="0.25">
      <c r="A4" t="s">
        <v>26</v>
      </c>
      <c r="B4">
        <v>0.08</v>
      </c>
      <c r="C4">
        <v>0.15</v>
      </c>
      <c r="D4">
        <v>0.09</v>
      </c>
      <c r="E4">
        <v>6.4999999999999997E-3</v>
      </c>
      <c r="F4">
        <v>0.03</v>
      </c>
    </row>
    <row r="5" spans="1:6" x14ac:dyDescent="0.25">
      <c r="A5" t="s">
        <v>27</v>
      </c>
      <c r="B5">
        <v>0.08</v>
      </c>
      <c r="C5">
        <v>0.15</v>
      </c>
      <c r="D5">
        <v>0.09</v>
      </c>
      <c r="E5">
        <v>6.4999999999999997E-3</v>
      </c>
      <c r="F5">
        <v>0.03</v>
      </c>
    </row>
    <row r="6" spans="1:6" x14ac:dyDescent="0.25">
      <c r="A6" t="s">
        <v>28</v>
      </c>
      <c r="B6">
        <v>0.16</v>
      </c>
      <c r="C6">
        <v>0.15</v>
      </c>
      <c r="D6">
        <v>0.09</v>
      </c>
      <c r="E6">
        <v>6.4999999999999997E-3</v>
      </c>
      <c r="F6">
        <v>0.03</v>
      </c>
    </row>
    <row r="7" spans="1:6" x14ac:dyDescent="0.25">
      <c r="A7" t="s">
        <v>29</v>
      </c>
      <c r="B7">
        <v>0.08</v>
      </c>
      <c r="C7">
        <v>0.15</v>
      </c>
      <c r="D7">
        <v>0.09</v>
      </c>
      <c r="E7">
        <v>6.4999999999999997E-3</v>
      </c>
      <c r="F7">
        <v>0.03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4E2A-C40A-41C8-94BC-35186BB3032C}">
  <dimension ref="A2:D40"/>
  <sheetViews>
    <sheetView zoomScaleNormal="100" workbookViewId="0">
      <selection activeCell="D8" sqref="D8"/>
    </sheetView>
  </sheetViews>
  <sheetFormatPr defaultColWidth="8.7109375" defaultRowHeight="15" x14ac:dyDescent="0.25"/>
  <sheetData>
    <row r="2" spans="1:4" x14ac:dyDescent="0.25">
      <c r="A2" t="s">
        <v>13</v>
      </c>
    </row>
    <row r="3" spans="1:4" x14ac:dyDescent="0.25">
      <c r="A3">
        <v>0</v>
      </c>
      <c r="B3">
        <v>180000</v>
      </c>
      <c r="C3">
        <v>0.04</v>
      </c>
      <c r="D3">
        <v>0</v>
      </c>
    </row>
    <row r="4" spans="1:4" x14ac:dyDescent="0.25">
      <c r="A4">
        <v>180000.01</v>
      </c>
      <c r="B4">
        <v>360000</v>
      </c>
      <c r="C4">
        <v>7.2999999999999995E-2</v>
      </c>
      <c r="D4">
        <v>5940</v>
      </c>
    </row>
    <row r="5" spans="1:4" x14ac:dyDescent="0.25">
      <c r="A5">
        <v>360000.01</v>
      </c>
      <c r="B5">
        <v>720000</v>
      </c>
      <c r="C5">
        <v>9.5000000000000001E-2</v>
      </c>
      <c r="D5">
        <v>13860</v>
      </c>
    </row>
    <row r="6" spans="1:4" x14ac:dyDescent="0.25">
      <c r="A6">
        <v>720000.01</v>
      </c>
      <c r="B6">
        <v>1800000</v>
      </c>
      <c r="C6">
        <v>0.107</v>
      </c>
      <c r="D6">
        <v>22500</v>
      </c>
    </row>
    <row r="7" spans="1:4" x14ac:dyDescent="0.25">
      <c r="A7">
        <v>1800000.01</v>
      </c>
      <c r="B7">
        <v>3600000</v>
      </c>
      <c r="C7">
        <v>0.14299999999999999</v>
      </c>
      <c r="D7">
        <v>87300</v>
      </c>
    </row>
    <row r="8" spans="1:4" x14ac:dyDescent="0.25">
      <c r="A8">
        <v>3600000.01</v>
      </c>
      <c r="B8">
        <v>4800000</v>
      </c>
      <c r="C8">
        <v>0.19</v>
      </c>
      <c r="D8">
        <v>378000</v>
      </c>
    </row>
    <row r="10" spans="1:4" x14ac:dyDescent="0.25">
      <c r="A10" t="s">
        <v>18</v>
      </c>
    </row>
    <row r="11" spans="1:4" x14ac:dyDescent="0.25">
      <c r="A11">
        <v>0</v>
      </c>
      <c r="B11">
        <v>180000</v>
      </c>
      <c r="C11">
        <v>4.4999999999999998E-2</v>
      </c>
      <c r="D11">
        <v>0</v>
      </c>
    </row>
    <row r="12" spans="1:4" x14ac:dyDescent="0.25">
      <c r="A12">
        <v>180000.01</v>
      </c>
      <c r="B12">
        <v>360000</v>
      </c>
      <c r="C12">
        <v>7.8E-2</v>
      </c>
      <c r="D12">
        <v>5940</v>
      </c>
    </row>
    <row r="13" spans="1:4" x14ac:dyDescent="0.25">
      <c r="A13">
        <v>360000.01</v>
      </c>
      <c r="B13">
        <v>720000</v>
      </c>
      <c r="C13">
        <v>0.1</v>
      </c>
      <c r="D13">
        <v>13860</v>
      </c>
    </row>
    <row r="14" spans="1:4" x14ac:dyDescent="0.25">
      <c r="A14">
        <v>720000.01</v>
      </c>
      <c r="B14">
        <v>1800000</v>
      </c>
      <c r="C14">
        <v>0.112</v>
      </c>
      <c r="D14">
        <v>22500</v>
      </c>
    </row>
    <row r="15" spans="1:4" x14ac:dyDescent="0.25">
      <c r="A15">
        <v>1800000.01</v>
      </c>
      <c r="B15">
        <v>3600000</v>
      </c>
      <c r="C15">
        <v>0.14699999999999999</v>
      </c>
      <c r="D15">
        <v>85500</v>
      </c>
    </row>
    <row r="16" spans="1:4" x14ac:dyDescent="0.25">
      <c r="A16">
        <v>3600000.01</v>
      </c>
      <c r="B16">
        <v>4800000</v>
      </c>
      <c r="C16">
        <v>0.3</v>
      </c>
      <c r="D16">
        <v>720000</v>
      </c>
    </row>
    <row r="18" spans="1:4" x14ac:dyDescent="0.25">
      <c r="A18" t="s">
        <v>19</v>
      </c>
    </row>
    <row r="19" spans="1:4" x14ac:dyDescent="0.25">
      <c r="A19">
        <v>0</v>
      </c>
      <c r="B19">
        <v>180000</v>
      </c>
      <c r="C19">
        <v>0.06</v>
      </c>
      <c r="D19">
        <v>0</v>
      </c>
    </row>
    <row r="20" spans="1:4" x14ac:dyDescent="0.25">
      <c r="A20">
        <v>180000.01</v>
      </c>
      <c r="B20">
        <v>360000</v>
      </c>
      <c r="C20">
        <v>0.112</v>
      </c>
      <c r="D20">
        <v>9360</v>
      </c>
    </row>
    <row r="21" spans="1:4" x14ac:dyDescent="0.25">
      <c r="A21">
        <v>360000.01</v>
      </c>
      <c r="B21">
        <v>720000</v>
      </c>
      <c r="C21">
        <v>0.13500000000000001</v>
      </c>
      <c r="D21">
        <v>17640</v>
      </c>
    </row>
    <row r="22" spans="1:4" x14ac:dyDescent="0.25">
      <c r="A22">
        <v>720000.01</v>
      </c>
      <c r="B22">
        <v>1800000</v>
      </c>
      <c r="C22">
        <v>0.16</v>
      </c>
      <c r="D22">
        <v>35640</v>
      </c>
    </row>
    <row r="23" spans="1:4" x14ac:dyDescent="0.25">
      <c r="A23">
        <v>1800000.01</v>
      </c>
      <c r="B23">
        <v>3600000</v>
      </c>
      <c r="C23">
        <v>0.21</v>
      </c>
      <c r="D23">
        <v>125640</v>
      </c>
    </row>
    <row r="24" spans="1:4" x14ac:dyDescent="0.25">
      <c r="A24">
        <v>3600000.01</v>
      </c>
      <c r="B24">
        <v>4800000</v>
      </c>
      <c r="C24">
        <v>0.33</v>
      </c>
      <c r="D24">
        <v>648000</v>
      </c>
    </row>
    <row r="26" spans="1:4" x14ac:dyDescent="0.25">
      <c r="A26" t="s">
        <v>20</v>
      </c>
    </row>
    <row r="27" spans="1:4" x14ac:dyDescent="0.25">
      <c r="A27">
        <v>0</v>
      </c>
      <c r="B27">
        <v>180000</v>
      </c>
      <c r="C27">
        <v>4.4999999999999998E-2</v>
      </c>
      <c r="D27">
        <v>0</v>
      </c>
    </row>
    <row r="28" spans="1:4" x14ac:dyDescent="0.25">
      <c r="A28">
        <v>180000.01</v>
      </c>
      <c r="B28">
        <v>360000</v>
      </c>
      <c r="C28">
        <v>0.09</v>
      </c>
      <c r="D28">
        <v>8100</v>
      </c>
    </row>
    <row r="29" spans="1:4" x14ac:dyDescent="0.25">
      <c r="A29">
        <v>360000.01</v>
      </c>
      <c r="B29">
        <v>720000</v>
      </c>
      <c r="C29">
        <v>0.10199999999999999</v>
      </c>
      <c r="D29">
        <v>12420</v>
      </c>
    </row>
    <row r="30" spans="1:4" x14ac:dyDescent="0.25">
      <c r="A30">
        <v>720000.01</v>
      </c>
      <c r="B30">
        <v>1800000</v>
      </c>
      <c r="C30">
        <v>0.14000000000000001</v>
      </c>
      <c r="D30">
        <v>39780</v>
      </c>
    </row>
    <row r="31" spans="1:4" x14ac:dyDescent="0.25">
      <c r="A31">
        <v>1800000.01</v>
      </c>
      <c r="B31">
        <v>3600000</v>
      </c>
      <c r="C31">
        <v>0.22</v>
      </c>
      <c r="D31">
        <v>183780</v>
      </c>
    </row>
    <row r="32" spans="1:4" x14ac:dyDescent="0.25">
      <c r="A32">
        <v>3600000.01</v>
      </c>
      <c r="B32">
        <v>4800000</v>
      </c>
      <c r="C32">
        <v>0.33</v>
      </c>
      <c r="D32">
        <v>828000</v>
      </c>
    </row>
    <row r="34" spans="1:4" x14ac:dyDescent="0.25">
      <c r="A34" t="s">
        <v>21</v>
      </c>
    </row>
    <row r="35" spans="1:4" x14ac:dyDescent="0.25">
      <c r="A35">
        <v>0</v>
      </c>
      <c r="B35">
        <v>180000</v>
      </c>
      <c r="C35">
        <v>0.155</v>
      </c>
      <c r="D35">
        <v>0</v>
      </c>
    </row>
    <row r="36" spans="1:4" x14ac:dyDescent="0.25">
      <c r="A36">
        <v>180000.01</v>
      </c>
      <c r="B36">
        <v>360000</v>
      </c>
      <c r="C36">
        <v>0.18</v>
      </c>
      <c r="D36">
        <v>4500</v>
      </c>
    </row>
    <row r="37" spans="1:4" x14ac:dyDescent="0.25">
      <c r="A37">
        <v>360000.01</v>
      </c>
      <c r="B37">
        <v>720000</v>
      </c>
      <c r="C37">
        <v>0.19500000000000001</v>
      </c>
      <c r="D37">
        <v>9900</v>
      </c>
    </row>
    <row r="38" spans="1:4" x14ac:dyDescent="0.25">
      <c r="A38">
        <v>720000.01</v>
      </c>
      <c r="B38">
        <v>1800000</v>
      </c>
      <c r="C38">
        <v>0.20499999999999999</v>
      </c>
      <c r="D38">
        <v>17100</v>
      </c>
    </row>
    <row r="39" spans="1:4" x14ac:dyDescent="0.25">
      <c r="A39">
        <v>1800000.01</v>
      </c>
      <c r="B39">
        <v>3600000</v>
      </c>
      <c r="C39">
        <v>0.23</v>
      </c>
      <c r="D39">
        <v>62100</v>
      </c>
    </row>
    <row r="40" spans="1:4" x14ac:dyDescent="0.25">
      <c r="A40">
        <v>3600000.01</v>
      </c>
      <c r="B40">
        <v>4800000</v>
      </c>
      <c r="C40">
        <v>0.30499999999999999</v>
      </c>
      <c r="D40">
        <v>540000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8B33-7F26-4A58-99EB-79C908989EF7}">
  <sheetPr>
    <pageSetUpPr autoPageBreaks="0"/>
  </sheetPr>
  <dimension ref="A1:Z10"/>
  <sheetViews>
    <sheetView showGridLines="0" workbookViewId="0">
      <pane xSplit="1" ySplit="2" topLeftCell="B3" activePane="bottomRight" state="frozen"/>
      <selection activeCell="C4" sqref="C4"/>
      <selection pane="topRight" activeCell="C4" sqref="C4"/>
      <selection pane="bottomLeft" activeCell="C4" sqref="C4"/>
      <selection pane="bottomRight" activeCell="B3" sqref="B3"/>
    </sheetView>
  </sheetViews>
  <sheetFormatPr defaultColWidth="0" defaultRowHeight="26.1" customHeight="1" x14ac:dyDescent="0.25"/>
  <cols>
    <col min="1" max="1" width="22.7109375" style="11" customWidth="1"/>
    <col min="2" max="2" width="3.28515625" style="1" customWidth="1"/>
    <col min="3" max="3" width="17" style="1" bestFit="1" customWidth="1"/>
    <col min="4" max="4" width="24" style="1" customWidth="1"/>
    <col min="5" max="5" width="28" style="1" bestFit="1" customWidth="1"/>
    <col min="6" max="26" width="9.140625" style="1" customWidth="1"/>
    <col min="27" max="16384" width="9.140625" style="1" hidden="1"/>
  </cols>
  <sheetData>
    <row r="1" spans="1:18" s="12" customFormat="1" ht="42" customHeight="1" x14ac:dyDescent="0.35">
      <c r="A1" s="11"/>
      <c r="B1" s="90" t="s">
        <v>3</v>
      </c>
      <c r="C1" s="90"/>
      <c r="D1" s="90"/>
    </row>
    <row r="2" spans="1:18" s="12" customFormat="1" ht="15" x14ac:dyDescent="0.25">
      <c r="A2" s="11"/>
      <c r="B2" s="18" t="s">
        <v>58</v>
      </c>
      <c r="C2" s="18"/>
      <c r="D2" s="18"/>
      <c r="E2" s="18"/>
      <c r="F2" s="18"/>
    </row>
    <row r="3" spans="1:18" ht="26.1" customHeight="1" x14ac:dyDescent="0.25">
      <c r="A3" s="63" t="s">
        <v>117</v>
      </c>
    </row>
    <row r="4" spans="1:18" ht="26.1" customHeight="1" x14ac:dyDescent="0.25">
      <c r="A4" s="59" t="str">
        <f>HYPERLINK("#'1-INSTRUÇÕES'!A1","1. INSTRUÇÕES")</f>
        <v>1. INSTRUÇÕES</v>
      </c>
      <c r="C4" s="19" t="s">
        <v>3</v>
      </c>
      <c r="D4" s="22" t="s">
        <v>139</v>
      </c>
      <c r="F4" s="91" t="str">
        <f>HYPERLINK("#'2.2_FIXOS'!A1","Próximo Passo ➡️")</f>
        <v>Próximo Passo ➡️</v>
      </c>
      <c r="G4" s="91"/>
      <c r="H4" s="91"/>
    </row>
    <row r="5" spans="1:18" ht="26.1" customHeight="1" x14ac:dyDescent="0.25">
      <c r="A5" s="58" t="str">
        <f>HYPERLINK("#'2.1_REGIME'!A1","2. CONFIGURAÇÕES")</f>
        <v>2. CONFIGURAÇÕES</v>
      </c>
      <c r="C5" s="19" t="s">
        <v>74</v>
      </c>
      <c r="D5" s="22" t="s">
        <v>123</v>
      </c>
    </row>
    <row r="6" spans="1:18" ht="26.1" customHeight="1" x14ac:dyDescent="0.25">
      <c r="A6" s="59" t="str">
        <f>HYPERLINK("#'3.IMPOSTOS_MEI'!A1","3. IMPOSTOS")</f>
        <v>3. IMPOSTOS</v>
      </c>
      <c r="I6" s="3"/>
    </row>
    <row r="7" spans="1:18" ht="26.1" customHeight="1" x14ac:dyDescent="0.25">
      <c r="A7" s="59" t="str">
        <f>IF('2.1_REGIME'!$D$5="Produtos",HYPERLINK("#'5-PRODUTO'!A1","4. PRECIFICAÇÃO"),HYPERLINK("#'4-SERVIÇO'!A1","4. PRECIFICAÇÃO"))</f>
        <v>4. PRECIFICAÇÃO</v>
      </c>
    </row>
    <row r="8" spans="1:18" ht="26.1" customHeight="1" x14ac:dyDescent="0.25">
      <c r="A8" s="59" t="str">
        <f>HYPERLINK("#'6-DASHBOARD'!A1","5. DASHBOARD")</f>
        <v>5. DASHBOARD</v>
      </c>
    </row>
    <row r="10" spans="1:18" ht="26.1" customHeight="1" x14ac:dyDescent="0.25">
      <c r="R10" s="8"/>
    </row>
  </sheetData>
  <sheetProtection algorithmName="SHA-512" hashValue="Kfb9lNjMEPW2obuR6E8BQR7aWpKVPnSvkvdA19mHUQri0XrWYFHPCCx48p7YdtRN+nQE+ee7E9YtPhT7JL00cA==" saltValue="ELxtAMHE8AZoni5v0TEUFg==" spinCount="100000" sheet="1" objects="1" scenarios="1"/>
  <dataConsolidate/>
  <mergeCells count="2">
    <mergeCell ref="B1:D1"/>
    <mergeCell ref="F4:H4"/>
  </mergeCells>
  <dataValidations count="3">
    <dataValidation type="list" sqref="F9" xr:uid="{A0AA80ED-38EE-4EB8-B8A8-D4EC45C06A93}">
      <formula1>"MEI,Simples Nacional,Lucro Presumido"</formula1>
      <formula2>0</formula2>
    </dataValidation>
    <dataValidation type="list" allowBlank="1" showInputMessage="1" showErrorMessage="1" sqref="D4" xr:uid="{EF0B7CD5-34B3-4C0F-B12C-EB609CDF0764}">
      <formula1>"MEI, Simples Nacional, Lucro Presumido"</formula1>
    </dataValidation>
    <dataValidation type="list" allowBlank="1" showInputMessage="1" showErrorMessage="1" sqref="D5" xr:uid="{418FE5D5-F3AC-455E-B069-09E0590DA8F7}">
      <formula1>"Serviços,Produtos"</formula1>
    </dataValidation>
  </dataValidation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EC99-EAF2-4AE9-BB0B-EC2A34DEC70E}">
  <sheetPr>
    <pageSetUpPr autoPageBreaks="0"/>
  </sheetPr>
  <dimension ref="A1:AB37"/>
  <sheetViews>
    <sheetView showGridLines="0" workbookViewId="0">
      <pane xSplit="1" ySplit="2" topLeftCell="B3" activePane="bottomRight" state="frozen"/>
      <selection activeCell="C4" sqref="C4"/>
      <selection pane="topRight" activeCell="C4" sqref="C4"/>
      <selection pane="bottomLeft" activeCell="C4" sqref="C4"/>
      <selection pane="bottomRight" activeCell="B3" sqref="B3"/>
    </sheetView>
  </sheetViews>
  <sheetFormatPr defaultColWidth="0" defaultRowHeight="26.1" customHeight="1" x14ac:dyDescent="0.25"/>
  <cols>
    <col min="1" max="1" width="22.7109375" style="11" customWidth="1"/>
    <col min="2" max="2" width="3.28515625" style="1" customWidth="1"/>
    <col min="3" max="3" width="32.28515625" style="1" bestFit="1" customWidth="1"/>
    <col min="4" max="4" width="19.28515625" style="1" customWidth="1"/>
    <col min="5" max="5" width="28" style="1" bestFit="1" customWidth="1"/>
    <col min="6" max="11" width="9.140625" style="1" customWidth="1"/>
    <col min="12" max="12" width="27.140625" style="1" bestFit="1" customWidth="1"/>
    <col min="13" max="24" width="9.140625" style="1" customWidth="1"/>
    <col min="25" max="26" width="0" style="1" hidden="1" customWidth="1"/>
    <col min="27" max="28" width="0" style="1" hidden="1"/>
    <col min="29" max="16384" width="9.140625" style="1" hidden="1"/>
  </cols>
  <sheetData>
    <row r="1" spans="1:18" s="12" customFormat="1" ht="42" customHeight="1" x14ac:dyDescent="0.35">
      <c r="A1" s="11"/>
      <c r="B1" s="21" t="s">
        <v>59</v>
      </c>
      <c r="C1" s="21"/>
    </row>
    <row r="2" spans="1:18" s="12" customFormat="1" ht="15" x14ac:dyDescent="0.25">
      <c r="A2" s="11"/>
      <c r="B2" s="18" t="s">
        <v>68</v>
      </c>
      <c r="C2" s="18"/>
      <c r="D2" s="18"/>
      <c r="E2" s="18"/>
      <c r="F2" s="18"/>
    </row>
    <row r="3" spans="1:18" ht="23.25" x14ac:dyDescent="0.25">
      <c r="A3" s="63" t="s">
        <v>117</v>
      </c>
    </row>
    <row r="4" spans="1:18" ht="32.1" customHeight="1" x14ac:dyDescent="0.25">
      <c r="A4" s="59" t="str">
        <f>HYPERLINK("#'1-INSTRUÇÕES'!A1","1. INSTRUÇÕES")</f>
        <v>1. INSTRUÇÕES</v>
      </c>
      <c r="C4" s="23" t="s">
        <v>6</v>
      </c>
      <c r="D4" s="4"/>
    </row>
    <row r="5" spans="1:18" ht="32.1" customHeight="1" x14ac:dyDescent="0.25">
      <c r="A5" s="58" t="str">
        <f>HYPERLINK("#'2.1_REGIME'!A1","2. CONFIGURAÇÕES")</f>
        <v>2. CONFIGURAÇÕES</v>
      </c>
      <c r="C5" s="19" t="s">
        <v>4</v>
      </c>
      <c r="D5" s="19" t="s">
        <v>5</v>
      </c>
      <c r="F5" s="91" t="str">
        <f>HYPERLINK("#'2.1_REGIME'!A1","⬅️ Anterior")</f>
        <v>⬅️ Anterior</v>
      </c>
      <c r="G5" s="91"/>
      <c r="H5" s="91"/>
      <c r="I5" s="91" t="str">
        <f>HYPERLINK("#'2.3_MÃO_DE_OBRA'!A1","Próximo Passo ➡️")</f>
        <v>Próximo Passo ➡️</v>
      </c>
      <c r="J5" s="91"/>
      <c r="K5" s="91"/>
    </row>
    <row r="6" spans="1:18" ht="26.1" customHeight="1" x14ac:dyDescent="0.25">
      <c r="A6" s="59" t="str">
        <f>HYPERLINK("#'3.IMPOSTOS_MEI'!A1","3. IMPOSTOS")</f>
        <v>3. IMPOSTOS</v>
      </c>
      <c r="C6" s="22"/>
      <c r="D6" s="31">
        <v>0</v>
      </c>
      <c r="K6" s="3"/>
    </row>
    <row r="7" spans="1:18" ht="26.1" customHeight="1" x14ac:dyDescent="0.25">
      <c r="A7" s="59" t="str">
        <f>IF('2.1_REGIME'!$D$5="Produtos",HYPERLINK("#'5-PRODUTO'!A1","4. PRECIFICAÇÃO"),HYPERLINK("#'4-SERVIÇO'!A1","4. PRECIFICAÇÃO"))</f>
        <v>4. PRECIFICAÇÃO</v>
      </c>
      <c r="C7" s="22"/>
      <c r="D7" s="31">
        <v>0</v>
      </c>
    </row>
    <row r="8" spans="1:18" ht="26.1" customHeight="1" x14ac:dyDescent="0.25">
      <c r="A8" s="59" t="str">
        <f>HYPERLINK("#'6-DASHBOARD'!A1","5. DASHBOARD")</f>
        <v>5. DASHBOARD</v>
      </c>
      <c r="C8" s="22"/>
      <c r="D8" s="31">
        <v>0</v>
      </c>
    </row>
    <row r="9" spans="1:18" ht="26.1" customHeight="1" x14ac:dyDescent="0.25">
      <c r="C9" s="22"/>
      <c r="D9" s="31">
        <v>0</v>
      </c>
    </row>
    <row r="10" spans="1:18" ht="26.1" customHeight="1" x14ac:dyDescent="0.25">
      <c r="C10" s="22"/>
      <c r="D10" s="31">
        <v>0</v>
      </c>
      <c r="I10" s="3"/>
      <c r="R10" s="8"/>
    </row>
    <row r="11" spans="1:18" ht="26.1" customHeight="1" x14ac:dyDescent="0.25">
      <c r="C11" s="22"/>
      <c r="D11" s="31">
        <v>0</v>
      </c>
      <c r="I11" s="3"/>
    </row>
    <row r="12" spans="1:18" ht="26.1" customHeight="1" x14ac:dyDescent="0.25">
      <c r="C12" s="22"/>
      <c r="D12" s="31">
        <v>0</v>
      </c>
      <c r="I12" s="3"/>
    </row>
    <row r="13" spans="1:18" ht="26.1" customHeight="1" x14ac:dyDescent="0.25">
      <c r="C13" s="22"/>
      <c r="D13" s="31">
        <v>0</v>
      </c>
      <c r="I13" s="3"/>
    </row>
    <row r="14" spans="1:18" ht="26.1" customHeight="1" x14ac:dyDescent="0.25">
      <c r="C14" s="22"/>
      <c r="D14" s="31">
        <v>0</v>
      </c>
      <c r="I14" s="3"/>
    </row>
    <row r="15" spans="1:18" ht="26.1" customHeight="1" x14ac:dyDescent="0.25">
      <c r="C15" s="22"/>
      <c r="D15" s="31">
        <v>0</v>
      </c>
      <c r="I15" s="3"/>
    </row>
    <row r="16" spans="1:18" ht="26.1" customHeight="1" x14ac:dyDescent="0.25">
      <c r="C16" s="22"/>
      <c r="D16" s="31">
        <v>0</v>
      </c>
      <c r="I16" s="3"/>
    </row>
    <row r="17" spans="3:9" ht="26.1" customHeight="1" x14ac:dyDescent="0.25">
      <c r="C17" s="22"/>
      <c r="D17" s="31">
        <v>0</v>
      </c>
      <c r="I17" s="3"/>
    </row>
    <row r="18" spans="3:9" ht="26.1" customHeight="1" x14ac:dyDescent="0.25">
      <c r="C18" s="22"/>
      <c r="D18" s="31">
        <v>0</v>
      </c>
    </row>
    <row r="19" spans="3:9" ht="26.1" customHeight="1" x14ac:dyDescent="0.25">
      <c r="C19" s="22"/>
      <c r="D19" s="31">
        <v>0</v>
      </c>
      <c r="I19" s="3"/>
    </row>
    <row r="20" spans="3:9" ht="26.1" customHeight="1" x14ac:dyDescent="0.25">
      <c r="C20" s="22"/>
      <c r="D20" s="31">
        <v>0</v>
      </c>
    </row>
    <row r="21" spans="3:9" ht="26.1" customHeight="1" x14ac:dyDescent="0.25">
      <c r="C21" s="22"/>
      <c r="D21" s="31">
        <v>0</v>
      </c>
    </row>
    <row r="22" spans="3:9" ht="26.1" customHeight="1" x14ac:dyDescent="0.25">
      <c r="C22" s="22"/>
      <c r="D22" s="31">
        <v>0</v>
      </c>
    </row>
    <row r="23" spans="3:9" ht="26.1" customHeight="1" x14ac:dyDescent="0.25">
      <c r="C23" s="22"/>
      <c r="D23" s="31">
        <v>0</v>
      </c>
    </row>
    <row r="24" spans="3:9" ht="26.1" customHeight="1" x14ac:dyDescent="0.25">
      <c r="C24" s="22"/>
      <c r="D24" s="31">
        <v>0</v>
      </c>
    </row>
    <row r="25" spans="3:9" ht="26.1" customHeight="1" x14ac:dyDescent="0.25">
      <c r="C25" s="22"/>
      <c r="D25" s="31">
        <v>0</v>
      </c>
    </row>
    <row r="26" spans="3:9" ht="26.1" customHeight="1" x14ac:dyDescent="0.25">
      <c r="C26" s="22"/>
      <c r="D26" s="31">
        <v>0</v>
      </c>
    </row>
    <row r="27" spans="3:9" ht="26.1" customHeight="1" x14ac:dyDescent="0.25">
      <c r="C27" s="22"/>
      <c r="D27" s="31">
        <v>0</v>
      </c>
    </row>
    <row r="28" spans="3:9" ht="26.1" customHeight="1" x14ac:dyDescent="0.25">
      <c r="C28" s="22"/>
      <c r="D28" s="31">
        <v>0</v>
      </c>
    </row>
    <row r="29" spans="3:9" ht="26.1" customHeight="1" x14ac:dyDescent="0.25">
      <c r="C29" s="22"/>
      <c r="D29" s="31">
        <v>0</v>
      </c>
    </row>
    <row r="30" spans="3:9" ht="26.1" customHeight="1" x14ac:dyDescent="0.25">
      <c r="C30" s="22"/>
      <c r="D30" s="31">
        <v>0</v>
      </c>
    </row>
    <row r="31" spans="3:9" ht="26.1" customHeight="1" x14ac:dyDescent="0.25">
      <c r="C31" s="22"/>
      <c r="D31" s="31">
        <v>0</v>
      </c>
    </row>
    <row r="32" spans="3:9" ht="26.1" customHeight="1" x14ac:dyDescent="0.25">
      <c r="C32" s="22"/>
      <c r="D32" s="31">
        <v>0</v>
      </c>
    </row>
    <row r="33" spans="3:5" ht="26.1" customHeight="1" x14ac:dyDescent="0.25">
      <c r="C33" s="22"/>
      <c r="D33" s="31">
        <v>0</v>
      </c>
    </row>
    <row r="34" spans="3:5" ht="26.1" customHeight="1" x14ac:dyDescent="0.25">
      <c r="C34" s="22"/>
      <c r="D34" s="31">
        <v>0</v>
      </c>
    </row>
    <row r="35" spans="3:5" ht="9.9499999999999993" customHeight="1" x14ac:dyDescent="0.25"/>
    <row r="36" spans="3:5" ht="26.1" customHeight="1" x14ac:dyDescent="0.25">
      <c r="C36" s="24" t="s">
        <v>48</v>
      </c>
      <c r="D36" s="32">
        <f>SUM(D6:D34)</f>
        <v>0</v>
      </c>
    </row>
    <row r="37" spans="3:5" ht="26.1" customHeight="1" x14ac:dyDescent="0.25">
      <c r="E37" s="5"/>
    </row>
  </sheetData>
  <sheetProtection algorithmName="SHA-512" hashValue="kG9BH8iGTZMBFJFU6Pscrq2h2qvSh5wr5M0cqvNNBhOhG3AV2JdQJaWT2/p2snDe6m5tco+HinJL4r0NehvWrA==" saltValue="EKYNcxw4lWy5w6lImEMbvw==" spinCount="100000" sheet="1" objects="1" scenarios="1"/>
  <dataConsolidate/>
  <mergeCells count="2">
    <mergeCell ref="I5:K5"/>
    <mergeCell ref="F5:H5"/>
  </mergeCells>
  <dataValidations count="1">
    <dataValidation type="decimal" operator="greaterThanOrEqual" allowBlank="1" showInputMessage="1" showErrorMessage="1" sqref="D6:D34" xr:uid="{4EAE534A-D8B2-4A8F-9793-B749190E2E20}">
      <formula1>0</formula1>
    </dataValidation>
  </dataValidation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AFCF-9A3A-4FFE-870F-24B56F236755}">
  <sheetPr>
    <pageSetUpPr autoPageBreaks="0"/>
  </sheetPr>
  <dimension ref="A1:Z38"/>
  <sheetViews>
    <sheetView showGridLines="0" workbookViewId="0">
      <pane xSplit="1" ySplit="2" topLeftCell="B3" activePane="bottomRight" state="frozen"/>
      <selection activeCell="C4" sqref="C4"/>
      <selection pane="topRight" activeCell="C4" sqref="C4"/>
      <selection pane="bottomLeft" activeCell="C4" sqref="C4"/>
      <selection pane="bottomRight" activeCell="B3" sqref="B3"/>
    </sheetView>
  </sheetViews>
  <sheetFormatPr defaultColWidth="0" defaultRowHeight="26.1" customHeight="1" x14ac:dyDescent="0.25"/>
  <cols>
    <col min="1" max="1" width="22.7109375" style="11" customWidth="1"/>
    <col min="2" max="2" width="3.28515625" style="1" customWidth="1"/>
    <col min="3" max="3" width="12.85546875" style="1" bestFit="1" customWidth="1"/>
    <col min="4" max="4" width="18.28515625" style="1" customWidth="1"/>
    <col min="5" max="5" width="23.28515625" style="6" bestFit="1" customWidth="1"/>
    <col min="6" max="6" width="16.5703125" style="1" customWidth="1"/>
    <col min="7" max="7" width="24.5703125" style="1" bestFit="1" customWidth="1"/>
    <col min="8" max="8" width="13.5703125" style="1" bestFit="1" customWidth="1"/>
    <col min="9" max="9" width="29.140625" style="1" bestFit="1" customWidth="1"/>
    <col min="10" max="10" width="24.42578125" style="1" customWidth="1"/>
    <col min="11" max="14" width="9.140625" style="1" customWidth="1"/>
    <col min="15" max="15" width="31.5703125" style="1" customWidth="1"/>
    <col min="16" max="26" width="9.140625" style="1" customWidth="1"/>
    <col min="27" max="16384" width="9.140625" style="1" hidden="1"/>
  </cols>
  <sheetData>
    <row r="1" spans="1:18" s="12" customFormat="1" ht="42" customHeight="1" x14ac:dyDescent="0.35">
      <c r="A1" s="11"/>
      <c r="B1" s="21" t="s">
        <v>60</v>
      </c>
      <c r="C1" s="21"/>
      <c r="D1" s="21"/>
    </row>
    <row r="2" spans="1:18" s="12" customFormat="1" ht="15" x14ac:dyDescent="0.25">
      <c r="A2" s="11"/>
      <c r="B2" s="18" t="s">
        <v>7</v>
      </c>
      <c r="C2" s="18"/>
      <c r="D2" s="18"/>
      <c r="E2" s="18"/>
      <c r="F2" s="18"/>
      <c r="G2" s="18"/>
    </row>
    <row r="3" spans="1:18" ht="9.9499999999999993" customHeight="1" x14ac:dyDescent="0.25">
      <c r="A3" s="63" t="s">
        <v>117</v>
      </c>
    </row>
    <row r="4" spans="1:18" ht="32.1" customHeight="1" x14ac:dyDescent="0.25">
      <c r="A4" s="59" t="str">
        <f>HYPERLINK("#'1-INSTRUÇÕES'!A1","1. INSTRUÇÕES")</f>
        <v>1. INSTRUÇÕES</v>
      </c>
      <c r="C4" s="19" t="s">
        <v>38</v>
      </c>
      <c r="D4" s="19" t="s">
        <v>39</v>
      </c>
      <c r="E4" s="19" t="s">
        <v>40</v>
      </c>
      <c r="F4" s="19" t="s">
        <v>41</v>
      </c>
      <c r="G4" s="19" t="s">
        <v>8</v>
      </c>
      <c r="H4" s="19" t="s">
        <v>42</v>
      </c>
      <c r="I4" s="19" t="s">
        <v>70</v>
      </c>
    </row>
    <row r="5" spans="1:18" ht="26.1" customHeight="1" x14ac:dyDescent="0.25">
      <c r="A5" s="58" t="str">
        <f>HYPERLINK("#'2.1_REGIME'!A1","2. CONFIGURAÇÕES")</f>
        <v>2. CONFIGURAÇÕES</v>
      </c>
      <c r="C5" s="22"/>
      <c r="D5" s="25"/>
      <c r="E5" s="31"/>
      <c r="F5" s="35"/>
      <c r="G5" s="64"/>
      <c r="H5" s="33" t="str">
        <f>IFERROR(E5*(1+F5)/G5,"")</f>
        <v/>
      </c>
      <c r="I5" s="34">
        <f>E5*(1+F5)</f>
        <v>0</v>
      </c>
    </row>
    <row r="6" spans="1:18" ht="26.1" customHeight="1" x14ac:dyDescent="0.25">
      <c r="A6" s="59" t="str">
        <f>HYPERLINK("#'3.IMPOSTOS_MEI'!A1","3. IMPOSTOS")</f>
        <v>3. IMPOSTOS</v>
      </c>
      <c r="C6" s="22"/>
      <c r="D6" s="25"/>
      <c r="E6" s="31"/>
      <c r="F6" s="35"/>
      <c r="G6" s="36"/>
      <c r="H6" s="33" t="str">
        <f t="shared" ref="H6:H13" si="0">IFERROR(E6*(1+F6)/G6,"")</f>
        <v/>
      </c>
      <c r="I6" s="34">
        <f t="shared" ref="I6:I13" si="1">E6*(1+F6)</f>
        <v>0</v>
      </c>
    </row>
    <row r="7" spans="1:18" ht="26.1" customHeight="1" x14ac:dyDescent="0.25">
      <c r="A7" s="59" t="str">
        <f>IF('2.1_REGIME'!$D$5="Produtos",HYPERLINK("#'5-PRODUTO'!A1","4. PRECIFICAÇÃO"),HYPERLINK("#'4-SERVIÇO'!A1","4. PRECIFICAÇÃO"))</f>
        <v>4. PRECIFICAÇÃO</v>
      </c>
      <c r="C7" s="22"/>
      <c r="D7" s="25"/>
      <c r="E7" s="31"/>
      <c r="F7" s="35"/>
      <c r="G7" s="36"/>
      <c r="H7" s="33" t="str">
        <f t="shared" si="0"/>
        <v/>
      </c>
      <c r="I7" s="34">
        <f t="shared" si="1"/>
        <v>0</v>
      </c>
    </row>
    <row r="8" spans="1:18" ht="26.1" customHeight="1" x14ac:dyDescent="0.25">
      <c r="A8" s="59" t="str">
        <f>HYPERLINK("#'6-DASHBOARD'!A1","5. DASHBOARD")</f>
        <v>5. DASHBOARD</v>
      </c>
      <c r="C8" s="22"/>
      <c r="D8" s="25"/>
      <c r="E8" s="31"/>
      <c r="F8" s="35"/>
      <c r="G8" s="36"/>
      <c r="H8" s="33" t="str">
        <f t="shared" si="0"/>
        <v/>
      </c>
      <c r="I8" s="34">
        <f t="shared" si="1"/>
        <v>0</v>
      </c>
    </row>
    <row r="9" spans="1:18" ht="26.1" customHeight="1" x14ac:dyDescent="0.25">
      <c r="C9" s="22"/>
      <c r="D9" s="25"/>
      <c r="E9" s="31"/>
      <c r="F9" s="35"/>
      <c r="G9" s="36"/>
      <c r="H9" s="33" t="str">
        <f t="shared" si="0"/>
        <v/>
      </c>
      <c r="I9" s="34">
        <f t="shared" si="1"/>
        <v>0</v>
      </c>
    </row>
    <row r="10" spans="1:18" ht="26.1" customHeight="1" x14ac:dyDescent="0.25">
      <c r="C10" s="22"/>
      <c r="D10" s="25"/>
      <c r="E10" s="31"/>
      <c r="F10" s="35"/>
      <c r="G10" s="36"/>
      <c r="H10" s="33" t="str">
        <f t="shared" si="0"/>
        <v/>
      </c>
      <c r="I10" s="34">
        <f t="shared" si="1"/>
        <v>0</v>
      </c>
      <c r="Q10" s="3"/>
      <c r="R10" s="8"/>
    </row>
    <row r="11" spans="1:18" ht="26.1" customHeight="1" x14ac:dyDescent="0.25">
      <c r="C11" s="22"/>
      <c r="D11" s="25"/>
      <c r="E11" s="31"/>
      <c r="F11" s="35"/>
      <c r="G11" s="36"/>
      <c r="H11" s="33" t="str">
        <f t="shared" si="0"/>
        <v/>
      </c>
      <c r="I11" s="34">
        <f t="shared" si="1"/>
        <v>0</v>
      </c>
      <c r="Q11" s="3"/>
    </row>
    <row r="12" spans="1:18" ht="26.1" customHeight="1" x14ac:dyDescent="0.25">
      <c r="C12" s="22"/>
      <c r="D12" s="25"/>
      <c r="E12" s="31"/>
      <c r="F12" s="35"/>
      <c r="G12" s="36"/>
      <c r="H12" s="33" t="str">
        <f t="shared" si="0"/>
        <v/>
      </c>
      <c r="I12" s="34">
        <f t="shared" si="1"/>
        <v>0</v>
      </c>
    </row>
    <row r="13" spans="1:18" ht="26.1" customHeight="1" x14ac:dyDescent="0.25">
      <c r="C13" s="22"/>
      <c r="D13" s="25"/>
      <c r="E13" s="31"/>
      <c r="F13" s="35"/>
      <c r="G13" s="36"/>
      <c r="H13" s="33" t="str">
        <f t="shared" si="0"/>
        <v/>
      </c>
      <c r="I13" s="34">
        <f t="shared" si="1"/>
        <v>0</v>
      </c>
    </row>
    <row r="15" spans="1:18" ht="26.1" customHeight="1" x14ac:dyDescent="0.25">
      <c r="E15" s="7"/>
      <c r="G15" s="20" t="str">
        <f>HYPERLINK("#'2.2_FIXOS'!A1","⬅️ Anterior")</f>
        <v>⬅️ Anterior</v>
      </c>
      <c r="H15" s="91" t="str">
        <f>IF('2.1_REGIME'!$D$4="MEI",HYPERLINK("#'3.IMPOSTOS_MEI'!A1","Próximo Passo ➡️"),IF('2.1_REGIME'!$D$4="Simples Nacional",HYPERLINK("#'3.IMPOSTOS_SIMPLES'!A1","Próximo Passo ➡️"),HYPERLINK("#'3.IMPOSTOS_LUCRO-PRESUMIDO'!A1","Próximo Passo ➡️")))</f>
        <v>Próximo Passo ➡️</v>
      </c>
      <c r="I15" s="91"/>
    </row>
    <row r="16" spans="1:18" ht="26.1" customHeight="1" x14ac:dyDescent="0.25">
      <c r="E16" s="7"/>
    </row>
    <row r="17" spans="5:7" ht="26.1" customHeight="1" x14ac:dyDescent="0.25">
      <c r="E17" s="7"/>
      <c r="G17" s="3"/>
    </row>
    <row r="18" spans="5:7" ht="26.1" customHeight="1" x14ac:dyDescent="0.25">
      <c r="E18" s="7"/>
      <c r="G18" s="3"/>
    </row>
    <row r="19" spans="5:7" ht="26.1" customHeight="1" x14ac:dyDescent="0.25">
      <c r="E19" s="7"/>
    </row>
    <row r="20" spans="5:7" ht="26.1" customHeight="1" x14ac:dyDescent="0.25">
      <c r="E20" s="7"/>
      <c r="G20" s="3"/>
    </row>
    <row r="21" spans="5:7" ht="26.1" customHeight="1" x14ac:dyDescent="0.25">
      <c r="E21" s="7"/>
    </row>
    <row r="22" spans="5:7" ht="26.1" customHeight="1" x14ac:dyDescent="0.25">
      <c r="E22" s="7"/>
    </row>
    <row r="23" spans="5:7" ht="26.1" customHeight="1" x14ac:dyDescent="0.25">
      <c r="E23" s="7"/>
    </row>
    <row r="24" spans="5:7" ht="26.1" customHeight="1" x14ac:dyDescent="0.25">
      <c r="E24" s="7"/>
    </row>
    <row r="25" spans="5:7" ht="26.1" customHeight="1" x14ac:dyDescent="0.25">
      <c r="E25" s="7"/>
    </row>
    <row r="26" spans="5:7" ht="26.1" customHeight="1" x14ac:dyDescent="0.25">
      <c r="E26" s="7"/>
    </row>
    <row r="27" spans="5:7" ht="26.1" customHeight="1" x14ac:dyDescent="0.25">
      <c r="E27" s="7"/>
    </row>
    <row r="28" spans="5:7" ht="26.1" customHeight="1" x14ac:dyDescent="0.25">
      <c r="E28" s="7"/>
    </row>
    <row r="29" spans="5:7" ht="26.1" customHeight="1" x14ac:dyDescent="0.25">
      <c r="E29" s="7"/>
    </row>
    <row r="30" spans="5:7" ht="26.1" customHeight="1" x14ac:dyDescent="0.25">
      <c r="E30" s="7"/>
    </row>
    <row r="31" spans="5:7" ht="26.1" customHeight="1" x14ac:dyDescent="0.25">
      <c r="E31" s="7"/>
    </row>
    <row r="32" spans="5:7" ht="26.1" customHeight="1" x14ac:dyDescent="0.25">
      <c r="E32" s="7"/>
    </row>
    <row r="33" spans="5:5" ht="26.1" customHeight="1" x14ac:dyDescent="0.25">
      <c r="E33" s="7"/>
    </row>
    <row r="34" spans="5:5" ht="26.1" customHeight="1" x14ac:dyDescent="0.25">
      <c r="E34" s="7"/>
    </row>
    <row r="35" spans="5:5" ht="26.1" customHeight="1" x14ac:dyDescent="0.25">
      <c r="E35" s="7"/>
    </row>
    <row r="36" spans="5:5" ht="26.1" customHeight="1" x14ac:dyDescent="0.25">
      <c r="E36" s="7"/>
    </row>
    <row r="37" spans="5:5" ht="26.1" customHeight="1" x14ac:dyDescent="0.25">
      <c r="E37" s="7"/>
    </row>
    <row r="38" spans="5:5" ht="26.1" customHeight="1" x14ac:dyDescent="0.25">
      <c r="E38" s="7"/>
    </row>
  </sheetData>
  <sheetProtection algorithmName="SHA-512" hashValue="+zmKInuU5UYg8InQoJdcm2LFqh+UUzgIditIxKd7TJiLD3wedW1yPeW6Dhvdf1VWHENcsY86lFmPkJErKTWXyQ==" saltValue="FfR28iBT8MzUkUDQxYln2g==" spinCount="100000" sheet="1" objects="1" scenarios="1"/>
  <dataConsolidate/>
  <mergeCells count="1">
    <mergeCell ref="H15:I15"/>
  </mergeCells>
  <dataValidations count="2">
    <dataValidation type="decimal" operator="greaterThan" allowBlank="1" showInputMessage="1" showErrorMessage="1" sqref="E5:E13" xr:uid="{DBF7C0BF-210B-4A0C-8DA7-E5B36A0D4F64}">
      <formula1>0</formula1>
    </dataValidation>
    <dataValidation type="decimal" allowBlank="1" showInputMessage="1" showErrorMessage="1" sqref="F5:F13" xr:uid="{9064D744-74D8-4A40-A068-F0441E7E858C}">
      <formula1>0</formula1>
      <formula2>100</formula2>
    </dataValidation>
  </dataValidation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C1FD-9766-428E-9964-FFB8A73479E0}">
  <sheetPr>
    <pageSetUpPr autoPageBreaks="0"/>
  </sheetPr>
  <dimension ref="A1:Z38"/>
  <sheetViews>
    <sheetView showGridLines="0" workbookViewId="0">
      <pane xSplit="1" ySplit="2" topLeftCell="B3" activePane="bottomRight" state="frozen"/>
      <selection activeCell="C4" sqref="C4"/>
      <selection pane="topRight" activeCell="C4" sqref="C4"/>
      <selection pane="bottomLeft" activeCell="C4" sqref="C4"/>
      <selection pane="bottomRight" activeCell="B3" sqref="B3"/>
    </sheetView>
  </sheetViews>
  <sheetFormatPr defaultColWidth="0" defaultRowHeight="26.1" customHeight="1" x14ac:dyDescent="0.25"/>
  <cols>
    <col min="1" max="1" width="22.7109375" style="11" customWidth="1"/>
    <col min="2" max="2" width="3.28515625" style="1" customWidth="1"/>
    <col min="3" max="4" width="43.7109375" style="1" bestFit="1" customWidth="1"/>
    <col min="5" max="5" width="28" style="6" bestFit="1" customWidth="1"/>
    <col min="6" max="14" width="9.140625" style="1" customWidth="1"/>
    <col min="15" max="15" width="31.5703125" style="1" customWidth="1"/>
    <col min="16" max="26" width="9.140625" style="1" customWidth="1"/>
    <col min="27" max="16384" width="9.140625" style="1" hidden="1"/>
  </cols>
  <sheetData>
    <row r="1" spans="1:18" s="12" customFormat="1" ht="42" customHeight="1" x14ac:dyDescent="0.35">
      <c r="A1" s="11"/>
      <c r="B1" s="21" t="s">
        <v>61</v>
      </c>
      <c r="C1" s="21"/>
      <c r="D1" s="17"/>
      <c r="E1" s="17"/>
    </row>
    <row r="2" spans="1:18" s="12" customFormat="1" ht="15" x14ac:dyDescent="0.25">
      <c r="A2" s="11"/>
      <c r="E2" s="17"/>
    </row>
    <row r="3" spans="1:18" ht="23.25" x14ac:dyDescent="0.25">
      <c r="A3" s="63" t="s">
        <v>117</v>
      </c>
    </row>
    <row r="4" spans="1:18" ht="32.1" customHeight="1" x14ac:dyDescent="0.25">
      <c r="A4" s="59" t="str">
        <f>HYPERLINK("#'1-INSTRUÇÕES'!A1","1. INSTRUÇÕES")</f>
        <v>1. INSTRUÇÕES</v>
      </c>
      <c r="C4" s="23" t="s">
        <v>57</v>
      </c>
      <c r="D4" s="6"/>
    </row>
    <row r="5" spans="1:18" ht="26.1" customHeight="1" x14ac:dyDescent="0.25">
      <c r="A5" s="59" t="str">
        <f>HYPERLINK("#'2.1_REGIME'!A1","2. CONFIGURAÇÕES")</f>
        <v>2. CONFIGURAÇÕES</v>
      </c>
      <c r="C5" s="19" t="s">
        <v>9</v>
      </c>
      <c r="D5" s="26" t="s">
        <v>123</v>
      </c>
    </row>
    <row r="6" spans="1:18" ht="26.1" customHeight="1" x14ac:dyDescent="0.25">
      <c r="A6" s="58" t="str">
        <f>HYPERLINK("#'3.IMPOSTOS_MEI'!A1","3. IMPOSTOS")</f>
        <v>3. IMPOSTOS</v>
      </c>
      <c r="C6" s="19" t="s">
        <v>10</v>
      </c>
      <c r="D6" s="37">
        <f>IF(ISBLANK(D5),0,IF(D5="Comércio e Indústria",82.05,IF(D5="Serviços",86.05,87.05)))</f>
        <v>86.05</v>
      </c>
    </row>
    <row r="7" spans="1:18" ht="26.1" customHeight="1" x14ac:dyDescent="0.25">
      <c r="A7" s="59" t="str">
        <f>IF('2.1_REGIME'!$D$5="Produtos",HYPERLINK("#'5-PRODUTO'!A1","4. PRECIFICAÇÃO"),HYPERLINK("#'4-SERVIÇO'!A1","4. PRECIFICAÇÃO"))</f>
        <v>4. PRECIFICAÇÃO</v>
      </c>
      <c r="E7" s="7"/>
      <c r="I7" s="3"/>
    </row>
    <row r="8" spans="1:18" ht="26.1" customHeight="1" x14ac:dyDescent="0.25">
      <c r="A8" s="59" t="str">
        <f>HYPERLINK("#'6-DASHBOARD'!A1","5. DASHBOARD")</f>
        <v>5. DASHBOARD</v>
      </c>
      <c r="E8" s="1"/>
    </row>
    <row r="9" spans="1:18" ht="26.1" customHeight="1" x14ac:dyDescent="0.25">
      <c r="C9" s="20" t="str">
        <f>HYPERLINK("#'2.3_MÃO_DE_OBRA'!A1","⬅️ Anterior")</f>
        <v>⬅️ Anterior</v>
      </c>
      <c r="D9" s="20" t="str">
        <f>IF('2.1_REGIME'!$D$5="Produtos",HYPERLINK("#'5-PRODUTO'!A1","Próximo Passo ➡️"),HYPERLINK("#'4-SERVIÇO'!A1","Próximo Passo ➡️"))</f>
        <v>Próximo Passo ➡️</v>
      </c>
      <c r="E9" s="1"/>
    </row>
    <row r="10" spans="1:18" ht="26.1" customHeight="1" x14ac:dyDescent="0.25">
      <c r="E10" s="1"/>
      <c r="Q10" s="3"/>
      <c r="R10" s="8"/>
    </row>
    <row r="11" spans="1:18" ht="26.1" customHeight="1" x14ac:dyDescent="0.25">
      <c r="E11" s="1"/>
      <c r="G11" s="3"/>
      <c r="Q11" s="3"/>
    </row>
    <row r="12" spans="1:18" ht="26.1" customHeight="1" x14ac:dyDescent="0.25">
      <c r="E12" s="1"/>
      <c r="G12" s="3"/>
    </row>
    <row r="13" spans="1:18" ht="26.1" customHeight="1" x14ac:dyDescent="0.25">
      <c r="E13" s="1"/>
      <c r="G13" s="3"/>
    </row>
    <row r="14" spans="1:18" ht="26.1" customHeight="1" x14ac:dyDescent="0.25">
      <c r="E14" s="7"/>
      <c r="G14" s="3"/>
    </row>
    <row r="15" spans="1:18" ht="26.1" customHeight="1" x14ac:dyDescent="0.25">
      <c r="E15" s="7"/>
      <c r="G15" s="3"/>
    </row>
    <row r="16" spans="1:18" ht="26.1" customHeight="1" x14ac:dyDescent="0.25">
      <c r="E16" s="7"/>
      <c r="G16" s="3"/>
    </row>
    <row r="17" spans="5:7" ht="26.1" customHeight="1" x14ac:dyDescent="0.25">
      <c r="E17" s="7"/>
      <c r="G17" s="3"/>
    </row>
    <row r="18" spans="5:7" ht="26.1" customHeight="1" x14ac:dyDescent="0.25">
      <c r="E18" s="7"/>
      <c r="G18" s="3"/>
    </row>
    <row r="19" spans="5:7" ht="26.1" customHeight="1" x14ac:dyDescent="0.25">
      <c r="E19" s="7"/>
    </row>
    <row r="20" spans="5:7" ht="26.1" customHeight="1" x14ac:dyDescent="0.25">
      <c r="E20" s="7"/>
      <c r="G20" s="3"/>
    </row>
    <row r="21" spans="5:7" ht="26.1" customHeight="1" x14ac:dyDescent="0.25">
      <c r="E21" s="7"/>
    </row>
    <row r="22" spans="5:7" ht="26.1" customHeight="1" x14ac:dyDescent="0.25">
      <c r="E22" s="7"/>
    </row>
    <row r="23" spans="5:7" ht="26.1" customHeight="1" x14ac:dyDescent="0.25">
      <c r="E23" s="7"/>
    </row>
    <row r="24" spans="5:7" ht="26.1" customHeight="1" x14ac:dyDescent="0.25">
      <c r="E24" s="7"/>
    </row>
    <row r="25" spans="5:7" ht="26.1" customHeight="1" x14ac:dyDescent="0.25">
      <c r="E25" s="7"/>
    </row>
    <row r="26" spans="5:7" ht="26.1" customHeight="1" x14ac:dyDescent="0.25">
      <c r="E26" s="7"/>
    </row>
    <row r="27" spans="5:7" ht="26.1" customHeight="1" x14ac:dyDescent="0.25">
      <c r="E27" s="7"/>
    </row>
    <row r="28" spans="5:7" ht="26.1" customHeight="1" x14ac:dyDescent="0.25">
      <c r="E28" s="7"/>
    </row>
    <row r="29" spans="5:7" ht="26.1" customHeight="1" x14ac:dyDescent="0.25">
      <c r="E29" s="7"/>
    </row>
    <row r="30" spans="5:7" ht="26.1" customHeight="1" x14ac:dyDescent="0.25">
      <c r="E30" s="7"/>
    </row>
    <row r="31" spans="5:7" ht="26.1" customHeight="1" x14ac:dyDescent="0.25">
      <c r="E31" s="7"/>
    </row>
    <row r="32" spans="5:7" ht="26.1" customHeight="1" x14ac:dyDescent="0.25">
      <c r="E32" s="7"/>
    </row>
    <row r="33" spans="5:5" ht="26.1" customHeight="1" x14ac:dyDescent="0.25">
      <c r="E33" s="7"/>
    </row>
    <row r="34" spans="5:5" ht="26.1" customHeight="1" x14ac:dyDescent="0.25">
      <c r="E34" s="7"/>
    </row>
    <row r="35" spans="5:5" ht="26.1" customHeight="1" x14ac:dyDescent="0.25">
      <c r="E35" s="7"/>
    </row>
    <row r="36" spans="5:5" ht="26.1" customHeight="1" x14ac:dyDescent="0.25">
      <c r="E36" s="7"/>
    </row>
    <row r="37" spans="5:5" ht="26.1" customHeight="1" x14ac:dyDescent="0.25">
      <c r="E37" s="7"/>
    </row>
    <row r="38" spans="5:5" ht="26.1" customHeight="1" x14ac:dyDescent="0.25">
      <c r="E38" s="7"/>
    </row>
  </sheetData>
  <sheetProtection algorithmName="SHA-512" hashValue="Hct637im77Zy0SWCWYE8BjboDMWg01zzBpaSSK8EDT1qSlKhnbY9sA8ldBRyrh8S3FjKYOfaVE/ZjMjUgVI8JA==" saltValue="nq4rmOTmygF6bg3UHONanA==" spinCount="100000" sheet="1" objects="1" scenarios="1"/>
  <dataConsolidate/>
  <dataValidations count="4">
    <dataValidation type="list" sqref="F10" xr:uid="{772FD28C-D683-4ED9-B7CA-ED6E6939087B}">
      <formula1>"MEI,Simples Nacional,Lucro Presumido"</formula1>
      <formula2>0</formula2>
    </dataValidation>
    <dataValidation type="list" sqref="F11" xr:uid="{90EF7B61-1215-4ED7-8E4D-AB7DE8AF114B}">
      <formula1>"Anexo I,Anexo II,Anexo III,Anexo IV,Anexo V"</formula1>
      <formula2>0</formula2>
    </dataValidation>
    <dataValidation type="list" sqref="F12" xr:uid="{2744841B-5656-4BDD-8D6F-1783208EB642}">
      <formula1>"Serviços em geral,Serviços hospitalares/médicos,Comércio e Indústria,Atividades imobiliárias,Transporte de cargas,Transporte de passageiros,Construção civil"</formula1>
      <formula2>0</formula2>
    </dataValidation>
    <dataValidation type="list" allowBlank="1" showInputMessage="1" showErrorMessage="1" sqref="D5" xr:uid="{A3BD72B9-1FD2-437F-8EB3-B8FA44B578EF}">
      <formula1>"Comércio e Indústria,Serviços,Comércio e Serviços"</formula1>
    </dataValidation>
  </dataValidation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E244-E5B6-4EA0-9230-6F17493B3D41}">
  <sheetPr>
    <pageSetUpPr autoPageBreaks="0"/>
  </sheetPr>
  <dimension ref="A1:Z36"/>
  <sheetViews>
    <sheetView showGridLines="0" workbookViewId="0">
      <pane xSplit="1" ySplit="2" topLeftCell="B3" activePane="bottomRight" state="frozen"/>
      <selection activeCell="C4" sqref="C4"/>
      <selection pane="topRight" activeCell="C4" sqref="C4"/>
      <selection pane="bottomLeft" activeCell="C4" sqref="C4"/>
      <selection pane="bottomRight" activeCell="B3" sqref="B3"/>
    </sheetView>
  </sheetViews>
  <sheetFormatPr defaultColWidth="0" defaultRowHeight="26.1" customHeight="1" x14ac:dyDescent="0.25"/>
  <cols>
    <col min="1" max="1" width="22.7109375" style="11" customWidth="1"/>
    <col min="2" max="2" width="3.28515625" style="1" customWidth="1"/>
    <col min="3" max="3" width="38.7109375" style="1" bestFit="1" customWidth="1"/>
    <col min="4" max="4" width="30.7109375" style="1" bestFit="1" customWidth="1"/>
    <col min="5" max="5" width="54" style="6" bestFit="1" customWidth="1"/>
    <col min="6" max="6" width="54" style="1" bestFit="1" customWidth="1"/>
    <col min="7" max="10" width="9.140625" style="1" customWidth="1"/>
    <col min="11" max="11" width="28" style="1" bestFit="1" customWidth="1"/>
    <col min="12" max="13" width="9.140625" style="1" customWidth="1"/>
    <col min="14" max="14" width="16.28515625" style="1" bestFit="1" customWidth="1"/>
    <col min="15" max="15" width="31.5703125" style="1" customWidth="1"/>
    <col min="16" max="26" width="9.140625" style="1" customWidth="1"/>
    <col min="27" max="16384" width="9.140625" style="1" hidden="1"/>
  </cols>
  <sheetData>
    <row r="1" spans="1:9" s="12" customFormat="1" ht="42" customHeight="1" x14ac:dyDescent="0.35">
      <c r="A1" s="11"/>
      <c r="B1" s="21" t="s">
        <v>62</v>
      </c>
      <c r="C1" s="21"/>
      <c r="E1" s="17"/>
    </row>
    <row r="2" spans="1:9" s="12" customFormat="1" ht="15" x14ac:dyDescent="0.25">
      <c r="A2" s="11"/>
      <c r="E2" s="17"/>
    </row>
    <row r="3" spans="1:9" ht="23.25" x14ac:dyDescent="0.25">
      <c r="A3" s="63" t="s">
        <v>117</v>
      </c>
    </row>
    <row r="4" spans="1:9" ht="26.1" customHeight="1" x14ac:dyDescent="0.25">
      <c r="A4" s="59" t="str">
        <f>HYPERLINK("#'1-INSTRUÇÕES'!A1","1. INSTRUÇÕES")</f>
        <v>1. INSTRUÇÕES</v>
      </c>
      <c r="C4" s="19" t="s">
        <v>12</v>
      </c>
      <c r="D4" s="26" t="s">
        <v>13</v>
      </c>
      <c r="E4" s="18" t="s">
        <v>2</v>
      </c>
    </row>
    <row r="5" spans="1:9" ht="26.1" customHeight="1" x14ac:dyDescent="0.25">
      <c r="A5" s="59" t="str">
        <f>HYPERLINK("#'2.1_REGIME'!A1","2. CONFIGURAÇÕES")</f>
        <v>2. CONFIGURAÇÕES</v>
      </c>
      <c r="C5" s="19" t="s">
        <v>69</v>
      </c>
      <c r="D5" s="38">
        <v>300</v>
      </c>
      <c r="E5" s="18" t="s">
        <v>1</v>
      </c>
    </row>
    <row r="6" spans="1:9" ht="26.1" customHeight="1" x14ac:dyDescent="0.25">
      <c r="A6" s="58" t="str">
        <f>HYPERLINK("#'3.IMPOSTOS_MEI'!A1","3. IMPOSTOS")</f>
        <v>3. IMPOSTOS</v>
      </c>
      <c r="C6" s="19" t="s">
        <v>14</v>
      </c>
      <c r="D6" s="38"/>
      <c r="E6" s="18"/>
    </row>
    <row r="7" spans="1:9" ht="26.1" customHeight="1" x14ac:dyDescent="0.25">
      <c r="A7" s="59" t="str">
        <f>IF('2.1_REGIME'!$D$5="Produtos",HYPERLINK("#'5-PRODUTO'!A1","4. PRECIFICAÇÃO"),HYPERLINK("#'4-SERVIÇO'!A1","4. PRECIFICAÇÃO"))</f>
        <v>4. PRECIFICAÇÃO</v>
      </c>
      <c r="C7" s="19" t="s">
        <v>15</v>
      </c>
      <c r="D7" s="38"/>
      <c r="E7" s="18"/>
      <c r="I7" s="3"/>
    </row>
    <row r="8" spans="1:9" ht="26.1" customHeight="1" x14ac:dyDescent="0.25">
      <c r="A8" s="59" t="str">
        <f>HYPERLINK("#'6-DASHBOARD'!A1","5. DASHBOARD")</f>
        <v>5. DASHBOARD</v>
      </c>
      <c r="C8" s="19" t="s">
        <v>16</v>
      </c>
      <c r="D8" s="38"/>
    </row>
    <row r="9" spans="1:9" ht="26.1" customHeight="1" x14ac:dyDescent="0.25">
      <c r="C9" s="19" t="s">
        <v>22</v>
      </c>
      <c r="D9" s="28">
        <f>IFERROR(SUM(D6:D8)/D5,0)</f>
        <v>0</v>
      </c>
      <c r="E9" s="18" t="str">
        <f>IF(AND(OR(D4="Anexo III",D4="Anexo V"),D9&gt;=0.28,D4="Anexo V"),"⚠️ Fator R acima de 28% — considere trocar para Anexo III","")</f>
        <v/>
      </c>
    </row>
    <row r="10" spans="1:9" ht="26.1" customHeight="1" x14ac:dyDescent="0.25">
      <c r="C10" s="19" t="s">
        <v>17</v>
      </c>
      <c r="D10" s="28">
        <f>IF($D$5=0,"Informe o faturamento esperado",IFERROR(
  (D5 * VLOOKUP(D5,CHOOSE(MATCH(D4,{"Anexo I";"Anexo II";"Anexo III";"Anexo IV";"Anexo V"},0),Simples_Nacional!A3:D8,Simples_Nacional!A11:D16,Simples_Nacional!A19:D24,Simples_Nacional!A27:D32,Simples_Nacional!A35:D40),3,1)
  - VLOOKUP(D5,CHOOSE(MATCH(D4,{"Anexo I";"Anexo II";"Anexo III";"Anexo IV";"Anexo V"},0),Simples_Nacional!A3:D8,Simples_Nacional!A11:D16,Simples_Nacional!A19:D24,Simples_Nacional!A27:D32,Simples_Nacional!A35:D40),4,1))
  /D5,0))</f>
        <v>0.04</v>
      </c>
      <c r="E10" s="18"/>
      <c r="G10" s="3"/>
    </row>
    <row r="11" spans="1:9" ht="26.1" customHeight="1" x14ac:dyDescent="0.25">
      <c r="G11" s="3"/>
    </row>
    <row r="12" spans="1:9" ht="26.1" customHeight="1" x14ac:dyDescent="0.25">
      <c r="D12" s="20" t="str">
        <f>HYPERLINK("#'2.3_MÃO_DE_OBRA'!A1","⬅️ Anterior")</f>
        <v>⬅️ Anterior</v>
      </c>
      <c r="E12" s="20" t="str">
        <f>IF('2.1_REGIME'!$D$5="Produtos",HYPERLINK("#'5-PRODUTO'!A1","Próximo Passo ➡️"),HYPERLINK("#'4-SERVIÇO'!A1","Próximo Passo ➡️"))</f>
        <v>Próximo Passo ➡️</v>
      </c>
      <c r="G12" s="3"/>
    </row>
    <row r="13" spans="1:9" ht="26.1" customHeight="1" x14ac:dyDescent="0.25">
      <c r="E13" s="7"/>
      <c r="G13" s="3"/>
    </row>
    <row r="14" spans="1:9" ht="26.1" customHeight="1" x14ac:dyDescent="0.25">
      <c r="E14" s="7"/>
      <c r="G14" s="3"/>
    </row>
    <row r="15" spans="1:9" ht="26.1" customHeight="1" x14ac:dyDescent="0.25">
      <c r="E15" s="7"/>
      <c r="G15" s="3"/>
    </row>
    <row r="16" spans="1:9" ht="26.1" customHeight="1" x14ac:dyDescent="0.25">
      <c r="E16" s="7"/>
      <c r="G16" s="3"/>
    </row>
    <row r="17" spans="5:7" ht="26.1" customHeight="1" x14ac:dyDescent="0.25">
      <c r="E17" s="7"/>
    </row>
    <row r="18" spans="5:7" ht="26.1" customHeight="1" x14ac:dyDescent="0.25">
      <c r="E18" s="7"/>
      <c r="G18" s="3"/>
    </row>
    <row r="19" spans="5:7" ht="26.1" customHeight="1" x14ac:dyDescent="0.25">
      <c r="E19" s="7"/>
    </row>
    <row r="20" spans="5:7" ht="26.1" customHeight="1" x14ac:dyDescent="0.25">
      <c r="E20" s="7"/>
    </row>
    <row r="21" spans="5:7" ht="26.1" customHeight="1" x14ac:dyDescent="0.25">
      <c r="E21" s="7"/>
    </row>
    <row r="22" spans="5:7" ht="26.1" customHeight="1" x14ac:dyDescent="0.25">
      <c r="E22" s="7"/>
    </row>
    <row r="23" spans="5:7" ht="26.1" customHeight="1" x14ac:dyDescent="0.25">
      <c r="E23" s="7"/>
    </row>
    <row r="24" spans="5:7" ht="26.1" customHeight="1" x14ac:dyDescent="0.25">
      <c r="E24" s="7"/>
    </row>
    <row r="25" spans="5:7" ht="26.1" customHeight="1" x14ac:dyDescent="0.25">
      <c r="E25" s="7"/>
    </row>
    <row r="26" spans="5:7" ht="26.1" customHeight="1" x14ac:dyDescent="0.25">
      <c r="E26" s="7"/>
    </row>
    <row r="27" spans="5:7" ht="26.1" customHeight="1" x14ac:dyDescent="0.25">
      <c r="E27" s="7"/>
    </row>
    <row r="28" spans="5:7" ht="26.1" customHeight="1" x14ac:dyDescent="0.25">
      <c r="E28" s="7"/>
    </row>
    <row r="29" spans="5:7" ht="26.1" customHeight="1" x14ac:dyDescent="0.25">
      <c r="E29" s="7"/>
    </row>
    <row r="30" spans="5:7" ht="26.1" customHeight="1" x14ac:dyDescent="0.25">
      <c r="E30" s="7"/>
    </row>
    <row r="31" spans="5:7" ht="26.1" customHeight="1" x14ac:dyDescent="0.25">
      <c r="E31" s="7"/>
    </row>
    <row r="32" spans="5:7" ht="26.1" customHeight="1" x14ac:dyDescent="0.25">
      <c r="E32" s="7"/>
    </row>
    <row r="33" spans="5:5" ht="26.1" customHeight="1" x14ac:dyDescent="0.25">
      <c r="E33" s="7"/>
    </row>
    <row r="34" spans="5:5" ht="26.1" customHeight="1" x14ac:dyDescent="0.25">
      <c r="E34" s="7"/>
    </row>
    <row r="35" spans="5:5" ht="26.1" customHeight="1" x14ac:dyDescent="0.25">
      <c r="E35" s="7"/>
    </row>
    <row r="36" spans="5:5" ht="26.1" customHeight="1" x14ac:dyDescent="0.25">
      <c r="E36" s="7"/>
    </row>
  </sheetData>
  <sheetProtection algorithmName="SHA-512" hashValue="i7G7XFmuIAXSbBh0wMaqFSxl0nHM0KZQnwAItmJGbe7dTI+zUOIt+lb8MccLUI0LwiUHEh/nmm6iqnm7BFmTtQ==" saltValue="H2fTZ5/MYoQAOIuCcdhP0A==" spinCount="100000" sheet="1" objects="1" scenarios="1"/>
  <dataConsolidate/>
  <dataValidations count="2">
    <dataValidation type="list" allowBlank="1" showInputMessage="1" showErrorMessage="1" sqref="D4" xr:uid="{240E249B-86B6-4A17-93E5-6C392465B2FF}">
      <formula1>"Anexo I,Anexo II,Anexo III, Anexo IV, Anexo V"</formula1>
    </dataValidation>
    <dataValidation type="list" sqref="L9" xr:uid="{54737569-D05A-4C2E-B7D8-E64F52BE9DD2}">
      <formula1>"Anexo I,Anexo II,Anexo III,Anexo IV,Anexo V"</formula1>
      <formula2>0</formula2>
    </dataValidation>
  </dataValidation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0376D-D412-4853-BA4C-0325DFA1C4C3}">
  <sheetPr>
    <pageSetUpPr autoPageBreaks="0"/>
  </sheetPr>
  <dimension ref="A1:Z38"/>
  <sheetViews>
    <sheetView showGridLines="0" workbookViewId="0">
      <pane xSplit="1" ySplit="2" topLeftCell="B3" activePane="bottomRight" state="frozen"/>
      <selection activeCell="C4" sqref="C4"/>
      <selection pane="topRight" activeCell="C4" sqref="C4"/>
      <selection pane="bottomLeft" activeCell="C4" sqref="C4"/>
      <selection pane="bottomRight" activeCell="B3" sqref="B3"/>
    </sheetView>
  </sheetViews>
  <sheetFormatPr defaultColWidth="0" defaultRowHeight="26.1" customHeight="1" x14ac:dyDescent="0.25"/>
  <cols>
    <col min="1" max="1" width="22.7109375" style="11" customWidth="1"/>
    <col min="2" max="2" width="3.28515625" style="1" customWidth="1"/>
    <col min="3" max="3" width="38.7109375" style="1" bestFit="1" customWidth="1"/>
    <col min="4" max="4" width="20.28515625" style="1" customWidth="1"/>
    <col min="5" max="5" width="52.7109375" style="6" bestFit="1" customWidth="1"/>
    <col min="6" max="6" width="52.7109375" style="1" bestFit="1" customWidth="1"/>
    <col min="7" max="10" width="9.140625" style="1" customWidth="1"/>
    <col min="11" max="11" width="28" style="1" bestFit="1" customWidth="1"/>
    <col min="12" max="13" width="9.140625" style="1" customWidth="1"/>
    <col min="14" max="14" width="16.28515625" style="1" bestFit="1" customWidth="1"/>
    <col min="15" max="15" width="31.5703125" style="1" customWidth="1"/>
    <col min="16" max="26" width="9.140625" style="1" customWidth="1"/>
    <col min="27" max="16384" width="9.140625" style="1" hidden="1"/>
  </cols>
  <sheetData>
    <row r="1" spans="1:18" s="12" customFormat="1" ht="42" customHeight="1" x14ac:dyDescent="0.35">
      <c r="A1" s="11"/>
      <c r="B1" s="21" t="s">
        <v>63</v>
      </c>
      <c r="C1" s="21"/>
      <c r="E1" s="17"/>
    </row>
    <row r="2" spans="1:18" s="12" customFormat="1" ht="15" x14ac:dyDescent="0.25">
      <c r="A2" s="11"/>
      <c r="E2" s="17"/>
    </row>
    <row r="3" spans="1:18" ht="23.25" x14ac:dyDescent="0.25">
      <c r="A3" s="63" t="s">
        <v>117</v>
      </c>
    </row>
    <row r="4" spans="1:18" ht="26.1" customHeight="1" x14ac:dyDescent="0.25">
      <c r="A4" s="59" t="str">
        <f>HYPERLINK("#'1-INSTRUÇÕES'!A1","1. INSTRUÇÕES")</f>
        <v>1. INSTRUÇÕES</v>
      </c>
      <c r="C4" s="19" t="s">
        <v>23</v>
      </c>
      <c r="D4" s="26"/>
      <c r="E4" s="18"/>
    </row>
    <row r="5" spans="1:18" ht="26.1" customHeight="1" x14ac:dyDescent="0.25">
      <c r="A5" s="59" t="str">
        <f>HYPERLINK("#'2.1_REGIME'!A1","2. CONFIGURAÇÕES")</f>
        <v>2. CONFIGURAÇÕES</v>
      </c>
      <c r="C5" s="19" t="s">
        <v>69</v>
      </c>
      <c r="D5" s="38">
        <v>0</v>
      </c>
      <c r="E5" s="18" t="s">
        <v>1</v>
      </c>
    </row>
    <row r="6" spans="1:18" ht="26.1" customHeight="1" x14ac:dyDescent="0.25">
      <c r="A6" s="58" t="str">
        <f>HYPERLINK("#'3.IMPOSTOS_MEI'!A1","3. IMPOSTOS")</f>
        <v>3. IMPOSTOS</v>
      </c>
      <c r="C6" s="19" t="s">
        <v>35</v>
      </c>
      <c r="D6" s="27">
        <v>0</v>
      </c>
      <c r="E6" s="18" t="s">
        <v>11</v>
      </c>
    </row>
    <row r="7" spans="1:18" ht="26.1" customHeight="1" x14ac:dyDescent="0.25">
      <c r="A7" s="59" t="str">
        <f>IF('2.1_REGIME'!$D$5="Produtos",HYPERLINK("#'5-PRODUTO'!A1","4. PRECIFICAÇÃO"),HYPERLINK("#'4-SERVIÇO'!A1","4. PRECIFICAÇÃO"))</f>
        <v>4. PRECIFICAÇÃO</v>
      </c>
      <c r="C7" s="19" t="s">
        <v>30</v>
      </c>
      <c r="D7" s="28">
        <f>IFERROR(VLOOKUP(D4,Lucro_Presumido!A1:F7,2,0),0)</f>
        <v>0</v>
      </c>
      <c r="E7" s="18"/>
      <c r="I7" s="3"/>
    </row>
    <row r="8" spans="1:18" ht="26.1" customHeight="1" x14ac:dyDescent="0.25">
      <c r="A8" s="59" t="str">
        <f>HYPERLINK("#'6-DASHBOARD'!A1","5. DASHBOARD")</f>
        <v>5. DASHBOARD</v>
      </c>
      <c r="C8" s="19" t="s">
        <v>31</v>
      </c>
      <c r="D8" s="28">
        <f>IFERROR(D7*VLOOKUP(D4,Lucro_Presumido!A1:F7,3,0),0)</f>
        <v>0</v>
      </c>
      <c r="E8" s="18" t="str">
        <f>IF(AND(OR(D4="Anexo III",D4="Anexo V"),D9&gt;=0.28,D4="Anexo V"),"⚠️ Fator R acima de 28% — considere trocar para Anexo III","")</f>
        <v/>
      </c>
    </row>
    <row r="9" spans="1:18" ht="26.1" customHeight="1" x14ac:dyDescent="0.25">
      <c r="C9" s="19" t="s">
        <v>32</v>
      </c>
      <c r="D9" s="28">
        <f>IFERROR(D7*VLOOKUP(D4,Lucro_Presumido!A1:F7,4,0),0)</f>
        <v>0</v>
      </c>
      <c r="E9" s="18"/>
    </row>
    <row r="10" spans="1:18" ht="26.1" customHeight="1" x14ac:dyDescent="0.25">
      <c r="C10" s="19" t="s">
        <v>33</v>
      </c>
      <c r="D10" s="28">
        <f>IFERROR(VLOOKUP(D4,Lucro_Presumido!A1:F7,5,0),0)</f>
        <v>0</v>
      </c>
      <c r="E10" s="18"/>
      <c r="R10" s="8"/>
    </row>
    <row r="11" spans="1:18" ht="26.1" customHeight="1" x14ac:dyDescent="0.25">
      <c r="C11" s="19" t="s">
        <v>34</v>
      </c>
      <c r="D11" s="28">
        <f>IFERROR(VLOOKUP(D4,Lucro_Presumido!A1:F7,6,0),0)</f>
        <v>0</v>
      </c>
      <c r="E11" s="18"/>
      <c r="G11" s="3"/>
    </row>
    <row r="12" spans="1:18" ht="26.1" customHeight="1" x14ac:dyDescent="0.25">
      <c r="C12" s="19" t="s">
        <v>36</v>
      </c>
      <c r="D12" s="28">
        <f>IFERROR(IF((D5/12)*D7&gt;20000,((D5/12)*D7-20000)*0.1/(D5/12),0),0)</f>
        <v>0</v>
      </c>
      <c r="E12" s="18"/>
      <c r="G12" s="3"/>
    </row>
    <row r="13" spans="1:18" ht="26.1" customHeight="1" x14ac:dyDescent="0.25">
      <c r="C13" s="19" t="s">
        <v>17</v>
      </c>
      <c r="D13" s="28">
        <f>D6+D8+D9+D10+D11+D12</f>
        <v>0</v>
      </c>
      <c r="E13" s="18"/>
      <c r="G13" s="3"/>
    </row>
    <row r="14" spans="1:18" ht="26.1" customHeight="1" x14ac:dyDescent="0.25">
      <c r="G14" s="3"/>
    </row>
    <row r="15" spans="1:18" ht="26.1" customHeight="1" x14ac:dyDescent="0.25">
      <c r="D15" s="20" t="str">
        <f>HYPERLINK("#'2.3_MÃO_DE_OBRA'!A1","⬅️ Anterior")</f>
        <v>⬅️ Anterior</v>
      </c>
      <c r="E15" s="20" t="str">
        <f>IF('2.1_REGIME'!$D$5="Produtos",HYPERLINK("#'5-PRODUTO'!A1","Próximo Passo ➡️"),HYPERLINK("#'4-SERVIÇO'!A1","Próximo Passo ➡️"))</f>
        <v>Próximo Passo ➡️</v>
      </c>
      <c r="G15" s="3"/>
    </row>
    <row r="16" spans="1:18" ht="26.1" customHeight="1" x14ac:dyDescent="0.25">
      <c r="E16" s="7"/>
      <c r="G16" s="3"/>
    </row>
    <row r="17" spans="5:7" ht="26.1" customHeight="1" x14ac:dyDescent="0.25">
      <c r="E17" s="7"/>
      <c r="G17" s="3"/>
    </row>
    <row r="18" spans="5:7" ht="26.1" customHeight="1" x14ac:dyDescent="0.25">
      <c r="E18" s="7"/>
      <c r="G18" s="3"/>
    </row>
    <row r="19" spans="5:7" ht="26.1" customHeight="1" x14ac:dyDescent="0.25">
      <c r="E19" s="7"/>
    </row>
    <row r="20" spans="5:7" ht="26.1" customHeight="1" x14ac:dyDescent="0.25">
      <c r="E20" s="7"/>
      <c r="G20" s="3"/>
    </row>
    <row r="21" spans="5:7" ht="26.1" customHeight="1" x14ac:dyDescent="0.25">
      <c r="E21" s="7"/>
    </row>
    <row r="22" spans="5:7" ht="26.1" customHeight="1" x14ac:dyDescent="0.25">
      <c r="E22" s="7"/>
    </row>
    <row r="23" spans="5:7" ht="26.1" customHeight="1" x14ac:dyDescent="0.25">
      <c r="E23" s="7"/>
    </row>
    <row r="24" spans="5:7" ht="26.1" customHeight="1" x14ac:dyDescent="0.25">
      <c r="E24" s="7"/>
    </row>
    <row r="25" spans="5:7" ht="26.1" customHeight="1" x14ac:dyDescent="0.25">
      <c r="E25" s="7"/>
    </row>
    <row r="26" spans="5:7" ht="26.1" customHeight="1" x14ac:dyDescent="0.25">
      <c r="E26" s="7"/>
    </row>
    <row r="27" spans="5:7" ht="26.1" customHeight="1" x14ac:dyDescent="0.25">
      <c r="E27" s="7"/>
    </row>
    <row r="28" spans="5:7" ht="26.1" customHeight="1" x14ac:dyDescent="0.25">
      <c r="E28" s="7"/>
    </row>
    <row r="29" spans="5:7" ht="26.1" customHeight="1" x14ac:dyDescent="0.25">
      <c r="E29" s="7"/>
    </row>
    <row r="30" spans="5:7" ht="26.1" customHeight="1" x14ac:dyDescent="0.25">
      <c r="E30" s="7"/>
    </row>
    <row r="31" spans="5:7" ht="26.1" customHeight="1" x14ac:dyDescent="0.25">
      <c r="E31" s="7"/>
    </row>
    <row r="32" spans="5:7" ht="26.1" customHeight="1" x14ac:dyDescent="0.25">
      <c r="E32" s="7"/>
    </row>
    <row r="33" spans="5:5" ht="26.1" customHeight="1" x14ac:dyDescent="0.25">
      <c r="E33" s="7"/>
    </row>
    <row r="34" spans="5:5" ht="26.1" customHeight="1" x14ac:dyDescent="0.25">
      <c r="E34" s="7"/>
    </row>
    <row r="35" spans="5:5" ht="26.1" customHeight="1" x14ac:dyDescent="0.25">
      <c r="E35" s="7"/>
    </row>
    <row r="36" spans="5:5" ht="26.1" customHeight="1" x14ac:dyDescent="0.25">
      <c r="E36" s="7"/>
    </row>
    <row r="37" spans="5:5" ht="26.1" customHeight="1" x14ac:dyDescent="0.25">
      <c r="E37" s="7"/>
    </row>
    <row r="38" spans="5:5" ht="26.1" customHeight="1" x14ac:dyDescent="0.25">
      <c r="E38" s="7"/>
    </row>
  </sheetData>
  <sheetProtection algorithmName="SHA-512" hashValue="q9kiRmc53TnVlcWbtE65hzXJ2rKHkcomHUBibbQLSSGIuvaz1SnlNtelAmRZ/vX+JxF7Jie1U9blvOvU2sbomA==" saltValue="bkcfNnHDkxR3EhEWQXcdMw==" spinCount="100000" sheet="1" objects="1" scenarios="1"/>
  <dataConsolidate/>
  <dataValidations count="3">
    <dataValidation type="list" sqref="L9" xr:uid="{06F226A2-583A-4A38-BC34-2667E7C6A9ED}">
      <formula1>"Anexo I,Anexo II,Anexo III,Anexo IV,Anexo V"</formula1>
      <formula2>0</formula2>
    </dataValidation>
    <dataValidation type="list" sqref="O10" xr:uid="{F807E7BA-7663-44B3-B6D9-567BBD7E4B79}">
      <formula1>"Serviços em geral,Serviços hospitalares/médicos,Comércio e Indústria,Atividades imobiliárias,Transporte de cargas,Transporte de passageiros,Construção civil"</formula1>
    </dataValidation>
    <dataValidation type="list" allowBlank="1" showInputMessage="1" showErrorMessage="1" sqref="D4" xr:uid="{8D4F027F-E25A-45B1-B402-F3C3FA0029FC}">
      <formula1>"Serviços em geral,Serviços hospitalares/médicos,Comércio e Indústria,Atividades imobiliárias,Transporte de cargas,Transporte de passageiros,Construção civil"</formula1>
    </dataValidation>
  </dataValidation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8BB7-BBE7-4B55-B6D4-91EAFED5876E}">
  <sheetPr>
    <pageSetUpPr autoPageBreaks="0"/>
  </sheetPr>
  <dimension ref="A1:R35"/>
  <sheetViews>
    <sheetView showGridLines="0" workbookViewId="0">
      <pane xSplit="1" ySplit="2" topLeftCell="B3" activePane="bottomRight" state="frozen"/>
      <selection activeCell="C4" sqref="C4"/>
      <selection pane="topRight" activeCell="C4" sqref="C4"/>
      <selection pane="bottomLeft" activeCell="C4" sqref="C4"/>
      <selection pane="bottomRight" activeCell="B3" sqref="B3"/>
    </sheetView>
  </sheetViews>
  <sheetFormatPr defaultRowHeight="26.1" customHeight="1" x14ac:dyDescent="0.25"/>
  <cols>
    <col min="1" max="1" width="22.7109375" style="11" customWidth="1"/>
    <col min="2" max="2" width="3.28515625" style="1" customWidth="1"/>
    <col min="3" max="3" width="26.28515625" style="1" customWidth="1"/>
    <col min="4" max="4" width="16.85546875" style="1" bestFit="1" customWidth="1"/>
    <col min="5" max="5" width="34.28515625" style="1" bestFit="1" customWidth="1"/>
    <col min="6" max="6" width="28.28515625" style="1" bestFit="1" customWidth="1"/>
    <col min="7" max="7" width="23.5703125" style="1" bestFit="1" customWidth="1"/>
    <col min="8" max="8" width="60.28515625" style="1" bestFit="1" customWidth="1"/>
    <col min="9" max="9" width="9.140625" style="1"/>
    <col min="10" max="10" width="34.85546875" style="1" bestFit="1" customWidth="1"/>
    <col min="11" max="16384" width="9.140625" style="1"/>
  </cols>
  <sheetData>
    <row r="1" spans="1:18" s="12" customFormat="1" ht="42" customHeight="1" x14ac:dyDescent="0.35">
      <c r="A1" s="11"/>
      <c r="B1" s="21" t="s">
        <v>64</v>
      </c>
      <c r="C1" s="21"/>
    </row>
    <row r="2" spans="1:18" s="12" customFormat="1" ht="15" x14ac:dyDescent="0.25">
      <c r="A2" s="11"/>
    </row>
    <row r="3" spans="1:18" ht="23.25" x14ac:dyDescent="0.25">
      <c r="A3" s="63" t="s">
        <v>117</v>
      </c>
    </row>
    <row r="4" spans="1:18" ht="26.1" customHeight="1" x14ac:dyDescent="0.25">
      <c r="A4" s="59" t="str">
        <f>HYPERLINK("#'1-INSTRUÇÕES'!A1","1. INSTRUÇÕES")</f>
        <v>1. INSTRUÇÕES</v>
      </c>
      <c r="C4" s="19" t="s">
        <v>37</v>
      </c>
      <c r="D4" s="22"/>
      <c r="F4" s="20" t="str">
        <f>IF('2.1_REGIME'!$D$4="MEI",HYPERLINK("#'3.IMPOSTOS_MEI'!A1","⬅️ Anterior"),IF('2.1_REGIME'!$D$4="Simples Nacional",HYPERLINK("#'3.IMPOSTOS_SIMPLES'!A1","⬅️ Anterior"),HYPERLINK("#'3.IMPOSTOS_LUCRO-PRESUMIDO'!A1","⬅️ Anterior")))</f>
        <v>⬅️ Anterior</v>
      </c>
      <c r="G4" s="20" t="str">
        <f>HYPERLINK("#'6-DASHBOARD'!A1","Ver o diagnóstico ➡️")</f>
        <v>Ver o diagnóstico ➡️</v>
      </c>
    </row>
    <row r="5" spans="1:18" ht="26.1" customHeight="1" x14ac:dyDescent="0.25">
      <c r="A5" s="59" t="str">
        <f>HYPERLINK("#'2.1_REGIME'!A1","2. CONFIGURAÇÕES")</f>
        <v>2. CONFIGURAÇÕES</v>
      </c>
    </row>
    <row r="6" spans="1:18" ht="32.1" customHeight="1" x14ac:dyDescent="0.25">
      <c r="A6" s="59" t="str">
        <f>HYPERLINK("#'3.IMPOSTOS_MEI'!A1","3. IMPOSTOS")</f>
        <v>3. IMPOSTOS</v>
      </c>
      <c r="C6" s="92" t="s">
        <v>45</v>
      </c>
      <c r="D6" s="92"/>
    </row>
    <row r="7" spans="1:18" ht="26.1" customHeight="1" x14ac:dyDescent="0.25">
      <c r="A7" s="58" t="str">
        <f>IF('2.1_REGIME'!$D$5="Produtos",HYPERLINK("#'5-PRODUTO'!A1","4. PRECIFICAÇÃO"),HYPERLINK("#'4-SERVIÇO'!A1","4. PRECIFICAÇÃO"))</f>
        <v>4. PRECIFICAÇÃO</v>
      </c>
      <c r="C7" s="19" t="s">
        <v>38</v>
      </c>
      <c r="D7" s="19" t="s">
        <v>39</v>
      </c>
      <c r="E7" s="19" t="s">
        <v>43</v>
      </c>
      <c r="F7" s="19" t="s">
        <v>46</v>
      </c>
      <c r="G7" s="19" t="s">
        <v>47</v>
      </c>
    </row>
    <row r="8" spans="1:18" ht="26.1" customHeight="1" x14ac:dyDescent="0.25">
      <c r="A8" s="59" t="str">
        <f>HYPERLINK("#'6-DASHBOARD'!A1","5. DASHBOARD")</f>
        <v>5. DASHBOARD</v>
      </c>
      <c r="C8" s="22"/>
      <c r="D8" s="22"/>
      <c r="E8" s="36"/>
      <c r="F8" s="34">
        <f>IFERROR(INDEX('2.3_MÃO_DE_OBRA'!$H$5:$H$30,MATCH($C8,'2.3_MÃO_DE_OBRA'!$C$5:$C$30,0)),0)</f>
        <v>0</v>
      </c>
      <c r="G8" s="34">
        <f>IFERROR($E8*$F8,0)</f>
        <v>0</v>
      </c>
    </row>
    <row r="9" spans="1:18" ht="26.1" customHeight="1" x14ac:dyDescent="0.25">
      <c r="C9" s="22"/>
      <c r="D9" s="22"/>
      <c r="E9" s="36"/>
      <c r="F9" s="34">
        <f>IFERROR(INDEX('2.3_MÃO_DE_OBRA'!$H$5:$H$30,MATCH($C9,'2.3_MÃO_DE_OBRA'!$C$5:$C$30,0)),0)</f>
        <v>0</v>
      </c>
      <c r="G9" s="34">
        <f t="shared" ref="G9:G12" si="0">IFERROR($E9*$F9,0)</f>
        <v>0</v>
      </c>
    </row>
    <row r="10" spans="1:18" ht="26.1" customHeight="1" x14ac:dyDescent="0.25">
      <c r="C10" s="22"/>
      <c r="D10" s="22"/>
      <c r="E10" s="36"/>
      <c r="F10" s="34">
        <f>IFERROR(INDEX('2.3_MÃO_DE_OBRA'!$H$5:$H$30,MATCH($C10,'2.3_MÃO_DE_OBRA'!$C$5:$C$30,0)),0)</f>
        <v>0</v>
      </c>
      <c r="G10" s="34">
        <f t="shared" si="0"/>
        <v>0</v>
      </c>
      <c r="R10" s="8"/>
    </row>
    <row r="11" spans="1:18" ht="26.1" customHeight="1" x14ac:dyDescent="0.25">
      <c r="C11" s="22"/>
      <c r="D11" s="29"/>
      <c r="E11" s="36"/>
      <c r="F11" s="34">
        <f>IFERROR(INDEX('2.3_MÃO_DE_OBRA'!$H$5:$H$30,MATCH($C11,'2.3_MÃO_DE_OBRA'!$C$5:$C$30,0)),0)</f>
        <v>0</v>
      </c>
      <c r="G11" s="34">
        <f t="shared" si="0"/>
        <v>0</v>
      </c>
    </row>
    <row r="12" spans="1:18" ht="26.1" customHeight="1" x14ac:dyDescent="0.25">
      <c r="C12" s="22"/>
      <c r="D12" s="29"/>
      <c r="E12" s="36"/>
      <c r="F12" s="34">
        <f>IFERROR(INDEX('2.3_MÃO_DE_OBRA'!$H$5:$H$30,MATCH($C12,'2.3_MÃO_DE_OBRA'!$C$5:$C$30,0)),0)</f>
        <v>0</v>
      </c>
      <c r="G12" s="34">
        <f t="shared" si="0"/>
        <v>0</v>
      </c>
    </row>
    <row r="13" spans="1:18" ht="26.1" customHeight="1" x14ac:dyDescent="0.25">
      <c r="D13" s="13"/>
      <c r="E13" s="14"/>
      <c r="F13" s="30" t="s">
        <v>48</v>
      </c>
      <c r="G13" s="32">
        <f>SUM(G8:G12)</f>
        <v>0</v>
      </c>
    </row>
    <row r="14" spans="1:18" ht="9.9499999999999993" customHeight="1" x14ac:dyDescent="0.25">
      <c r="C14" s="18"/>
      <c r="D14" s="18"/>
    </row>
    <row r="15" spans="1:18" ht="32.1" customHeight="1" x14ac:dyDescent="0.25">
      <c r="C15" s="23" t="s">
        <v>44</v>
      </c>
      <c r="D15" s="23"/>
      <c r="F15" s="19" t="s">
        <v>118</v>
      </c>
      <c r="G15" s="34">
        <f>$D$35</f>
        <v>0</v>
      </c>
    </row>
    <row r="16" spans="1:18" ht="26.1" customHeight="1" x14ac:dyDescent="0.25">
      <c r="C16" s="19" t="s">
        <v>4</v>
      </c>
      <c r="D16" s="19" t="s">
        <v>5</v>
      </c>
    </row>
    <row r="17" spans="3:12" ht="26.1" customHeight="1" x14ac:dyDescent="0.25">
      <c r="C17" s="22"/>
      <c r="D17" s="31">
        <v>0</v>
      </c>
      <c r="K17" s="2"/>
    </row>
    <row r="18" spans="3:12" ht="26.1" customHeight="1" x14ac:dyDescent="0.25">
      <c r="C18" s="22"/>
      <c r="D18" s="31">
        <v>0</v>
      </c>
      <c r="K18" s="13"/>
    </row>
    <row r="19" spans="3:12" ht="26.1" customHeight="1" x14ac:dyDescent="0.25">
      <c r="C19" s="22"/>
      <c r="D19" s="31">
        <v>0</v>
      </c>
      <c r="K19" s="13"/>
    </row>
    <row r="20" spans="3:12" ht="26.1" customHeight="1" x14ac:dyDescent="0.25">
      <c r="C20" s="22"/>
      <c r="D20" s="31">
        <v>0</v>
      </c>
      <c r="K20" s="13"/>
    </row>
    <row r="21" spans="3:12" ht="26.1" customHeight="1" x14ac:dyDescent="0.25">
      <c r="C21" s="22"/>
      <c r="D21" s="31">
        <v>0</v>
      </c>
      <c r="K21" s="13"/>
    </row>
    <row r="22" spans="3:12" ht="26.1" customHeight="1" x14ac:dyDescent="0.25">
      <c r="C22" s="22"/>
      <c r="D22" s="31">
        <v>0</v>
      </c>
      <c r="K22" s="13"/>
    </row>
    <row r="23" spans="3:12" ht="26.1" customHeight="1" x14ac:dyDescent="0.25">
      <c r="C23" s="22"/>
      <c r="D23" s="31">
        <v>0</v>
      </c>
      <c r="K23" s="13"/>
    </row>
    <row r="24" spans="3:12" ht="26.1" customHeight="1" x14ac:dyDescent="0.25">
      <c r="C24" s="22"/>
      <c r="D24" s="31">
        <v>0</v>
      </c>
      <c r="K24" s="13"/>
    </row>
    <row r="25" spans="3:12" ht="26.1" customHeight="1" x14ac:dyDescent="0.25">
      <c r="C25" s="22"/>
      <c r="D25" s="31">
        <v>0</v>
      </c>
      <c r="F25" s="9"/>
      <c r="G25" s="9"/>
      <c r="K25" s="9"/>
      <c r="L25" s="9"/>
    </row>
    <row r="26" spans="3:12" ht="26.1" customHeight="1" x14ac:dyDescent="0.25">
      <c r="C26" s="22"/>
      <c r="D26" s="31">
        <v>0</v>
      </c>
      <c r="K26" s="10"/>
    </row>
    <row r="27" spans="3:12" ht="26.1" customHeight="1" x14ac:dyDescent="0.25">
      <c r="C27" s="22"/>
      <c r="D27" s="31">
        <v>0</v>
      </c>
    </row>
    <row r="28" spans="3:12" ht="26.1" customHeight="1" x14ac:dyDescent="0.25">
      <c r="C28" s="22"/>
      <c r="D28" s="31">
        <v>0</v>
      </c>
    </row>
    <row r="29" spans="3:12" ht="26.1" customHeight="1" x14ac:dyDescent="0.25">
      <c r="C29" s="22"/>
      <c r="D29" s="31">
        <v>0</v>
      </c>
    </row>
    <row r="30" spans="3:12" ht="26.1" customHeight="1" x14ac:dyDescent="0.25">
      <c r="C30" s="22"/>
      <c r="D30" s="31">
        <v>0</v>
      </c>
    </row>
    <row r="31" spans="3:12" ht="26.1" customHeight="1" x14ac:dyDescent="0.25">
      <c r="C31" s="22"/>
      <c r="D31" s="31">
        <v>0</v>
      </c>
    </row>
    <row r="32" spans="3:12" ht="26.1" customHeight="1" x14ac:dyDescent="0.25">
      <c r="C32" s="22"/>
      <c r="D32" s="31">
        <v>0</v>
      </c>
    </row>
    <row r="33" spans="3:4" ht="26.1" customHeight="1" x14ac:dyDescent="0.25">
      <c r="C33" s="22"/>
      <c r="D33" s="31">
        <v>0</v>
      </c>
    </row>
    <row r="34" spans="3:4" s="18" customFormat="1" ht="9.9499999999999993" customHeight="1" x14ac:dyDescent="0.25"/>
    <row r="35" spans="3:4" ht="26.1" customHeight="1" x14ac:dyDescent="0.25">
      <c r="C35" s="24" t="s">
        <v>48</v>
      </c>
      <c r="D35" s="32">
        <f>SUM(D17:D33)</f>
        <v>0</v>
      </c>
    </row>
  </sheetData>
  <sheetProtection algorithmName="SHA-512" hashValue="8TcFunqSWTDIMRu/eyR+yUzbTLh29tatlpsccVjtJ2NaanqUdgQ48eMUzF8CJfKHcn2+i0QT/983OnWk/nP9XA==" saltValue="FAak9ueJZZ/1Gh44W+UyZA==" spinCount="100000" sheet="1" objects="1" scenarios="1"/>
  <mergeCells count="1">
    <mergeCell ref="C6:D6"/>
  </mergeCells>
  <dataValidations disablePrompts="1" count="1">
    <dataValidation type="decimal" operator="greaterThanOrEqual" allowBlank="1" showInputMessage="1" showErrorMessage="1" sqref="E8:E12" xr:uid="{B1B0217E-B19B-4B1A-AEBF-5EA1DA452287}">
      <formula1>0</formula1>
    </dataValidation>
  </dataValidations>
  <pageMargins left="0.51181102362204722" right="0.51181102362204722" top="0.78740157480314965" bottom="0.78740157480314965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1EEAB38-1E6F-44A8-8237-943A5A642A9C}">
          <x14:formula1>
            <xm:f>'2.3_MÃO_DE_OBRA'!$C$5:$C$13</xm:f>
          </x14:formula1>
          <xm:sqref>C8:C12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4802-201C-471E-BBDD-D7CF8ED9B4B8}">
  <sheetPr>
    <pageSetUpPr autoPageBreaks="0"/>
  </sheetPr>
  <dimension ref="A1:R59"/>
  <sheetViews>
    <sheetView showGridLines="0" workbookViewId="0">
      <pane xSplit="1" ySplit="2" topLeftCell="B3" activePane="bottomRight" state="frozen"/>
      <selection activeCell="C4" sqref="C4"/>
      <selection pane="topRight" activeCell="C4" sqref="C4"/>
      <selection pane="bottomLeft" activeCell="C4" sqref="C4"/>
      <selection pane="bottomRight" activeCell="B3" sqref="B3"/>
    </sheetView>
  </sheetViews>
  <sheetFormatPr defaultRowHeight="26.1" customHeight="1" x14ac:dyDescent="0.25"/>
  <cols>
    <col min="1" max="1" width="22.7109375" style="11" customWidth="1"/>
    <col min="2" max="2" width="3.28515625" style="1" customWidth="1"/>
    <col min="3" max="3" width="30.42578125" style="1" customWidth="1"/>
    <col min="4" max="4" width="32.5703125" style="1" bestFit="1" customWidth="1"/>
    <col min="5" max="5" width="28.42578125" style="1" bestFit="1" customWidth="1"/>
    <col min="6" max="6" width="48.7109375" style="1" bestFit="1" customWidth="1"/>
    <col min="7" max="7" width="30" style="1" bestFit="1" customWidth="1"/>
    <col min="8" max="8" width="3.28515625" style="1" customWidth="1"/>
    <col min="9" max="9" width="41.140625" style="1" bestFit="1" customWidth="1"/>
    <col min="10" max="10" width="25.42578125" style="1" bestFit="1" customWidth="1"/>
    <col min="11" max="11" width="60.28515625" style="1" bestFit="1" customWidth="1"/>
    <col min="12" max="16384" width="9.140625" style="1"/>
  </cols>
  <sheetData>
    <row r="1" spans="1:18" s="12" customFormat="1" ht="42" customHeight="1" x14ac:dyDescent="0.35">
      <c r="A1" s="11"/>
      <c r="B1" s="21" t="s">
        <v>65</v>
      </c>
      <c r="C1" s="21"/>
    </row>
    <row r="2" spans="1:18" s="12" customFormat="1" ht="15" x14ac:dyDescent="0.25">
      <c r="A2" s="11"/>
    </row>
    <row r="3" spans="1:18" ht="23.25" x14ac:dyDescent="0.25">
      <c r="A3" s="63" t="s">
        <v>117</v>
      </c>
    </row>
    <row r="4" spans="1:18" ht="26.1" customHeight="1" x14ac:dyDescent="0.25">
      <c r="A4" s="59" t="str">
        <f>HYPERLINK("#'1-INSTRUÇÕES'!A1","1. INSTRUÇÕES")</f>
        <v>1. INSTRUÇÕES</v>
      </c>
      <c r="C4" s="19" t="s">
        <v>50</v>
      </c>
      <c r="D4" s="22"/>
      <c r="F4" s="20" t="str">
        <f>IF('2.1_REGIME'!$D$4="MEI",HYPERLINK("#'3.IMPOSTOS_MEI'!A1","⬅️ Anterior"),IF('2.1_REGIME'!$D$4="Simples Nacional",HYPERLINK("#'3.IMPOSTOS_SIMPLES'!A1","⬅️ Anterior"),HYPERLINK("#'3.IMPOSTOS_LUCRO-PRESUMIDO'!A1","⬅️ Anterior")))</f>
        <v>⬅️ Anterior</v>
      </c>
      <c r="G4" s="20" t="str">
        <f>HYPERLINK("#'6-DASHBOARD'!A1","Ver o diagnóstico ➡️")</f>
        <v>Ver o diagnóstico ➡️</v>
      </c>
    </row>
    <row r="5" spans="1:18" ht="26.1" customHeight="1" x14ac:dyDescent="0.25">
      <c r="A5" s="59" t="str">
        <f>HYPERLINK("#'2.1_REGIME'!A1","2. CONFIGURAÇÕES")</f>
        <v>2. CONFIGURAÇÕES</v>
      </c>
      <c r="C5" s="19" t="s">
        <v>51</v>
      </c>
      <c r="D5" s="22"/>
    </row>
    <row r="6" spans="1:18" ht="26.1" customHeight="1" x14ac:dyDescent="0.25">
      <c r="A6" s="59" t="str">
        <f>HYPERLINK("#'3.IMPOSTOS_MEI'!A1","3. IMPOSTOS")</f>
        <v>3. IMPOSTOS</v>
      </c>
    </row>
    <row r="7" spans="1:18" ht="32.1" customHeight="1" x14ac:dyDescent="0.25">
      <c r="A7" s="58" t="str">
        <f>IF('2.1_REGIME'!$D$5="Produtos",HYPERLINK("#'5-PRODUTO'!A1","4. PRECIFICAÇÃO"),HYPERLINK("#'4-SERVIÇO'!A1","4. PRECIFICAÇÃO"))</f>
        <v>4. PRECIFICAÇÃO</v>
      </c>
      <c r="C7" s="92" t="s">
        <v>52</v>
      </c>
      <c r="D7" s="92"/>
      <c r="E7" s="39"/>
      <c r="F7" s="40" t="s">
        <v>76</v>
      </c>
      <c r="G7" s="23"/>
      <c r="K7" s="40"/>
    </row>
    <row r="8" spans="1:18" ht="26.1" customHeight="1" x14ac:dyDescent="0.25">
      <c r="A8" s="59" t="str">
        <f>HYPERLINK("#'6-DASHBOARD'!A1","5. DASHBOARD")</f>
        <v>5. DASHBOARD</v>
      </c>
      <c r="C8" s="19" t="s">
        <v>4</v>
      </c>
      <c r="D8" s="19" t="s">
        <v>53</v>
      </c>
      <c r="E8" s="19" t="s">
        <v>54</v>
      </c>
      <c r="F8" s="19" t="s">
        <v>75</v>
      </c>
      <c r="G8" s="19" t="s">
        <v>55</v>
      </c>
      <c r="K8" s="40"/>
    </row>
    <row r="9" spans="1:18" ht="26.1" customHeight="1" x14ac:dyDescent="0.25">
      <c r="C9" s="22"/>
      <c r="D9" s="36"/>
      <c r="E9" s="22"/>
      <c r="F9" s="31"/>
      <c r="G9" s="34">
        <f>IFERROR($D9*$F9,0)</f>
        <v>0</v>
      </c>
    </row>
    <row r="10" spans="1:18" ht="26.1" customHeight="1" x14ac:dyDescent="0.25">
      <c r="C10" s="22"/>
      <c r="D10" s="36"/>
      <c r="E10" s="22"/>
      <c r="F10" s="31"/>
      <c r="G10" s="34">
        <f t="shared" ref="G10:G18" si="0">IFERROR($D10*$F10,0)</f>
        <v>0</v>
      </c>
      <c r="R10" s="8"/>
    </row>
    <row r="11" spans="1:18" ht="26.1" customHeight="1" x14ac:dyDescent="0.25">
      <c r="C11" s="22"/>
      <c r="D11" s="36"/>
      <c r="E11" s="22"/>
      <c r="F11" s="31"/>
      <c r="G11" s="34">
        <f t="shared" si="0"/>
        <v>0</v>
      </c>
    </row>
    <row r="12" spans="1:18" ht="26.1" customHeight="1" x14ac:dyDescent="0.25">
      <c r="C12" s="22"/>
      <c r="D12" s="36"/>
      <c r="E12" s="22"/>
      <c r="F12" s="31"/>
      <c r="G12" s="34">
        <f t="shared" si="0"/>
        <v>0</v>
      </c>
    </row>
    <row r="13" spans="1:18" ht="26.1" customHeight="1" x14ac:dyDescent="0.25">
      <c r="C13" s="22"/>
      <c r="D13" s="41"/>
      <c r="E13" s="22"/>
      <c r="F13" s="31"/>
      <c r="G13" s="34">
        <f t="shared" si="0"/>
        <v>0</v>
      </c>
    </row>
    <row r="14" spans="1:18" ht="26.1" customHeight="1" x14ac:dyDescent="0.25">
      <c r="C14" s="22"/>
      <c r="D14" s="36"/>
      <c r="E14" s="22"/>
      <c r="F14" s="31"/>
      <c r="G14" s="34">
        <f t="shared" si="0"/>
        <v>0</v>
      </c>
    </row>
    <row r="15" spans="1:18" ht="26.1" customHeight="1" x14ac:dyDescent="0.25">
      <c r="C15" s="22"/>
      <c r="D15" s="36"/>
      <c r="E15" s="22"/>
      <c r="F15" s="31"/>
      <c r="G15" s="34">
        <f t="shared" si="0"/>
        <v>0</v>
      </c>
    </row>
    <row r="16" spans="1:18" ht="26.1" customHeight="1" x14ac:dyDescent="0.25">
      <c r="C16" s="22"/>
      <c r="D16" s="36"/>
      <c r="E16" s="22"/>
      <c r="F16" s="31"/>
      <c r="G16" s="34">
        <f t="shared" si="0"/>
        <v>0</v>
      </c>
    </row>
    <row r="17" spans="3:7" ht="26.1" customHeight="1" x14ac:dyDescent="0.25">
      <c r="C17" s="22"/>
      <c r="D17" s="36"/>
      <c r="E17" s="22"/>
      <c r="F17" s="31"/>
      <c r="G17" s="34">
        <f t="shared" si="0"/>
        <v>0</v>
      </c>
    </row>
    <row r="18" spans="3:7" ht="26.1" customHeight="1" x14ac:dyDescent="0.25">
      <c r="C18" s="22"/>
      <c r="D18" s="36"/>
      <c r="E18" s="22"/>
      <c r="F18" s="31"/>
      <c r="G18" s="34">
        <f t="shared" si="0"/>
        <v>0</v>
      </c>
    </row>
    <row r="19" spans="3:7" ht="26.1" customHeight="1" x14ac:dyDescent="0.25">
      <c r="C19" s="14"/>
      <c r="F19" s="30" t="s">
        <v>48</v>
      </c>
      <c r="G19" s="32">
        <f>SUM(G9:G18)</f>
        <v>0</v>
      </c>
    </row>
    <row r="20" spans="3:7" ht="9.9499999999999993" customHeight="1" x14ac:dyDescent="0.25"/>
    <row r="21" spans="3:7" ht="32.1" customHeight="1" x14ac:dyDescent="0.25">
      <c r="C21" s="92" t="s">
        <v>45</v>
      </c>
      <c r="D21" s="92"/>
      <c r="E21" s="23"/>
      <c r="F21" s="23"/>
      <c r="G21" s="23"/>
    </row>
    <row r="22" spans="3:7" ht="26.1" customHeight="1" x14ac:dyDescent="0.25">
      <c r="C22" s="19" t="s">
        <v>38</v>
      </c>
      <c r="D22" s="19" t="s">
        <v>39</v>
      </c>
      <c r="E22" s="19" t="s">
        <v>71</v>
      </c>
      <c r="F22" s="19" t="s">
        <v>46</v>
      </c>
      <c r="G22" s="19" t="s">
        <v>47</v>
      </c>
    </row>
    <row r="23" spans="3:7" ht="26.1" customHeight="1" x14ac:dyDescent="0.25">
      <c r="C23" s="22"/>
      <c r="D23" s="22"/>
      <c r="E23" s="36"/>
      <c r="F23" s="34">
        <f>IFERROR(INDEX('2.3_MÃO_DE_OBRA'!$H$5:$H$30,MATCH($C23,'2.3_MÃO_DE_OBRA'!$C$5:$C$30,0)),0)</f>
        <v>0</v>
      </c>
      <c r="G23" s="34">
        <f>IFERROR($E23*$F23,0)</f>
        <v>0</v>
      </c>
    </row>
    <row r="24" spans="3:7" ht="26.1" customHeight="1" x14ac:dyDescent="0.25">
      <c r="C24" s="22"/>
      <c r="D24" s="22"/>
      <c r="E24" s="36"/>
      <c r="F24" s="34">
        <f>IFERROR(INDEX('2.3_MÃO_DE_OBRA'!$H$5:$H$30,MATCH($C24,'2.3_MÃO_DE_OBRA'!$C$5:$C$30,0)),0)</f>
        <v>0</v>
      </c>
      <c r="G24" s="34">
        <f t="shared" ref="G24:G27" si="1">IFERROR($E24*$F24,0)</f>
        <v>0</v>
      </c>
    </row>
    <row r="25" spans="3:7" ht="26.1" customHeight="1" x14ac:dyDescent="0.25">
      <c r="C25" s="22"/>
      <c r="D25" s="22"/>
      <c r="E25" s="36"/>
      <c r="F25" s="34">
        <f>IFERROR(INDEX('2.3_MÃO_DE_OBRA'!$H$5:$H$30,MATCH($C25,'2.3_MÃO_DE_OBRA'!$C$5:$C$30,0)),0)</f>
        <v>0</v>
      </c>
      <c r="G25" s="34">
        <f t="shared" si="1"/>
        <v>0</v>
      </c>
    </row>
    <row r="26" spans="3:7" ht="26.1" customHeight="1" x14ac:dyDescent="0.25">
      <c r="C26" s="22"/>
      <c r="D26" s="29"/>
      <c r="E26" s="36"/>
      <c r="F26" s="34">
        <f>IFERROR(INDEX('2.3_MÃO_DE_OBRA'!$H$5:$H$30,MATCH($C26,'2.3_MÃO_DE_OBRA'!$C$5:$C$30,0)),0)</f>
        <v>0</v>
      </c>
      <c r="G26" s="34">
        <f t="shared" si="1"/>
        <v>0</v>
      </c>
    </row>
    <row r="27" spans="3:7" ht="26.1" customHeight="1" x14ac:dyDescent="0.25">
      <c r="C27" s="22"/>
      <c r="D27" s="29"/>
      <c r="E27" s="36"/>
      <c r="F27" s="34">
        <f>IFERROR(INDEX('2.3_MÃO_DE_OBRA'!$H$5:$H$30,MATCH($C27,'2.3_MÃO_DE_OBRA'!$C$5:$C$30,0)),0)</f>
        <v>0</v>
      </c>
      <c r="G27" s="34">
        <f t="shared" si="1"/>
        <v>0</v>
      </c>
    </row>
    <row r="28" spans="3:7" ht="26.1" customHeight="1" x14ac:dyDescent="0.25">
      <c r="D28" s="13"/>
      <c r="E28" s="14"/>
      <c r="F28" s="30" t="s">
        <v>48</v>
      </c>
      <c r="G28" s="32">
        <f>SUM(G23:G27)</f>
        <v>0</v>
      </c>
    </row>
    <row r="29" spans="3:7" ht="9.9499999999999993" customHeight="1" x14ac:dyDescent="0.25"/>
    <row r="30" spans="3:7" ht="32.1" customHeight="1" x14ac:dyDescent="0.25">
      <c r="C30" s="39" t="s">
        <v>72</v>
      </c>
      <c r="D30" s="39"/>
      <c r="F30" s="19" t="s">
        <v>119</v>
      </c>
      <c r="G30" s="34">
        <f>$G$19+$D$50</f>
        <v>0</v>
      </c>
    </row>
    <row r="31" spans="3:7" ht="26.1" customHeight="1" x14ac:dyDescent="0.25">
      <c r="C31" s="19" t="s">
        <v>4</v>
      </c>
      <c r="D31" s="19" t="s">
        <v>5</v>
      </c>
    </row>
    <row r="32" spans="3:7" ht="26.1" customHeight="1" x14ac:dyDescent="0.25">
      <c r="C32" s="22"/>
      <c r="D32" s="31">
        <v>0</v>
      </c>
    </row>
    <row r="33" spans="3:4" ht="26.1" customHeight="1" x14ac:dyDescent="0.25">
      <c r="C33" s="22"/>
      <c r="D33" s="31">
        <v>0</v>
      </c>
    </row>
    <row r="34" spans="3:4" ht="26.1" customHeight="1" x14ac:dyDescent="0.25">
      <c r="C34" s="22"/>
      <c r="D34" s="31">
        <v>0</v>
      </c>
    </row>
    <row r="35" spans="3:4" ht="26.1" customHeight="1" x14ac:dyDescent="0.25">
      <c r="C35" s="22"/>
      <c r="D35" s="31">
        <v>0</v>
      </c>
    </row>
    <row r="36" spans="3:4" ht="26.1" customHeight="1" x14ac:dyDescent="0.25">
      <c r="C36" s="22"/>
      <c r="D36" s="31">
        <v>0</v>
      </c>
    </row>
    <row r="37" spans="3:4" ht="26.1" customHeight="1" x14ac:dyDescent="0.25">
      <c r="C37" s="22"/>
      <c r="D37" s="31">
        <v>0</v>
      </c>
    </row>
    <row r="38" spans="3:4" ht="26.1" customHeight="1" x14ac:dyDescent="0.25">
      <c r="C38" s="22"/>
      <c r="D38" s="31">
        <v>0</v>
      </c>
    </row>
    <row r="39" spans="3:4" ht="26.1" customHeight="1" x14ac:dyDescent="0.25">
      <c r="C39" s="22"/>
      <c r="D39" s="31">
        <v>0</v>
      </c>
    </row>
    <row r="40" spans="3:4" ht="26.1" customHeight="1" x14ac:dyDescent="0.25">
      <c r="C40" s="22"/>
      <c r="D40" s="31">
        <v>0</v>
      </c>
    </row>
    <row r="41" spans="3:4" ht="26.1" customHeight="1" x14ac:dyDescent="0.25">
      <c r="C41" s="22"/>
      <c r="D41" s="31">
        <v>0</v>
      </c>
    </row>
    <row r="42" spans="3:4" ht="26.1" customHeight="1" x14ac:dyDescent="0.25">
      <c r="C42" s="22"/>
      <c r="D42" s="31">
        <v>0</v>
      </c>
    </row>
    <row r="43" spans="3:4" ht="26.1" customHeight="1" x14ac:dyDescent="0.25">
      <c r="C43" s="22"/>
      <c r="D43" s="31">
        <v>0</v>
      </c>
    </row>
    <row r="44" spans="3:4" ht="26.1" customHeight="1" x14ac:dyDescent="0.25">
      <c r="C44" s="22"/>
      <c r="D44" s="31">
        <v>0</v>
      </c>
    </row>
    <row r="45" spans="3:4" ht="26.1" customHeight="1" x14ac:dyDescent="0.25">
      <c r="C45" s="22"/>
      <c r="D45" s="31">
        <v>0</v>
      </c>
    </row>
    <row r="46" spans="3:4" ht="26.1" customHeight="1" x14ac:dyDescent="0.25">
      <c r="C46" s="22"/>
      <c r="D46" s="31">
        <v>0</v>
      </c>
    </row>
    <row r="47" spans="3:4" ht="26.1" customHeight="1" x14ac:dyDescent="0.25">
      <c r="C47" s="22"/>
      <c r="D47" s="31">
        <v>0</v>
      </c>
    </row>
    <row r="48" spans="3:4" ht="26.1" customHeight="1" x14ac:dyDescent="0.25">
      <c r="C48" s="22"/>
      <c r="D48" s="31">
        <v>0</v>
      </c>
    </row>
    <row r="49" spans="3:4" ht="9.9499999999999993" customHeight="1" x14ac:dyDescent="0.25">
      <c r="C49" s="18"/>
      <c r="D49" s="18"/>
    </row>
    <row r="50" spans="3:4" ht="26.1" customHeight="1" x14ac:dyDescent="0.25">
      <c r="C50" s="24" t="s">
        <v>48</v>
      </c>
      <c r="D50" s="32">
        <f>SUM(D32:D49)</f>
        <v>0</v>
      </c>
    </row>
    <row r="59" spans="3:4" ht="26.1" customHeight="1" x14ac:dyDescent="0.25">
      <c r="C59" s="15"/>
      <c r="D59" s="16"/>
    </row>
  </sheetData>
  <sheetProtection algorithmName="SHA-512" hashValue="j6s5V3ehoe+aLEsmzHKvmuupqteW1RmuGxGarlqfZ+znodesHG9yOGWmncapqDmGgtnUQqqWbTld2zRbUf48Bg==" saltValue="RCJ6rWOWB2WADlwH5LP4zg==" spinCount="100000" sheet="1" objects="1" scenarios="1"/>
  <mergeCells count="2">
    <mergeCell ref="C21:D21"/>
    <mergeCell ref="C7:D7"/>
  </mergeCells>
  <dataValidations count="1">
    <dataValidation type="decimal" operator="greaterThanOrEqual" allowBlank="1" showInputMessage="1" showErrorMessage="1" sqref="D9:D18 F9:F18 E23:E27" xr:uid="{C9C8DACA-F648-4B48-BBB4-1BB9482EAF0B}">
      <formula1>0</formula1>
    </dataValidation>
  </dataValidations>
  <pageMargins left="0.51181102362204722" right="0.51181102362204722" top="0.78740157480314965" bottom="0.78740157480314965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3A4C26-AB08-4F22-92E9-5E9DFA629891}">
          <x14:formula1>
            <xm:f>'2.3_MÃO_DE_OBRA'!$C$5:$C$30</xm:f>
          </x14:formula1>
          <xm:sqref>C23:C27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9</vt:i4>
      </vt:variant>
    </vt:vector>
  </HeadingPairs>
  <TitlesOfParts>
    <vt:vector size="21" baseType="lpstr">
      <vt:lpstr>1-INSTRUÇÕES</vt:lpstr>
      <vt:lpstr>2.1_REGIME</vt:lpstr>
      <vt:lpstr>2.2_FIXOS</vt:lpstr>
      <vt:lpstr>2.3_MÃO_DE_OBRA</vt:lpstr>
      <vt:lpstr>3.IMPOSTOS_MEI</vt:lpstr>
      <vt:lpstr>3.IMPOSTOS_SIMPLES</vt:lpstr>
      <vt:lpstr>3.IMPOSTOS_LUCRO-PRESUMIDO</vt:lpstr>
      <vt:lpstr>4-SERVIÇO</vt:lpstr>
      <vt:lpstr>5-PRODUTO</vt:lpstr>
      <vt:lpstr>6-DASHBOARD</vt:lpstr>
      <vt:lpstr>Lucro_Presumido</vt:lpstr>
      <vt:lpstr>Simples_Nacional</vt:lpstr>
      <vt:lpstr>CustoMensalMaoDeObra</vt:lpstr>
      <vt:lpstr>HorasDisponiveis</vt:lpstr>
      <vt:lpstr>ProdutoMaodeObraDireta</vt:lpstr>
      <vt:lpstr>ProdutoTotalVariavel</vt:lpstr>
      <vt:lpstr>RegimeTributario</vt:lpstr>
      <vt:lpstr>TotalCustosFixos</vt:lpstr>
      <vt:lpstr>TotalCustosVariaveis</vt:lpstr>
      <vt:lpstr>TotalInsumos</vt:lpstr>
      <vt:lpstr>TotalMaodeObraDireta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Santanna</dc:creator>
  <cp:lastModifiedBy>Matheus Guimaraes Santanna</cp:lastModifiedBy>
  <dcterms:created xsi:type="dcterms:W3CDTF">2026-04-25T14:09:29Z</dcterms:created>
  <dcterms:modified xsi:type="dcterms:W3CDTF">2026-08-05T19:14:41Z</dcterms:modified>
</cp:coreProperties>
</file>